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6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7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8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66\Comercial\Atlántida\2020\COTIZADORES INDIVIDUALES\Desbloqueado\2022\"/>
    </mc:Choice>
  </mc:AlternateContent>
  <xr:revisionPtr revIDLastSave="0" documentId="13_ncr:1_{845712F5-3C49-4ED5-8D1A-593A496E1884}" xr6:coauthVersionLast="47" xr6:coauthVersionMax="47" xr10:uidLastSave="{00000000-0000-0000-0000-000000000000}"/>
  <workbookProtection workbookAlgorithmName="SHA-512" workbookHashValue="T4r51V2Wc8I9W3WpGHkFawzC2XOMRlBr2g8Vww23f7T1Hv3lsmxtd5muoPLSZMgAWpaoQdGmMBl9ihtxTsP44g==" workbookSaltValue="XrLbzzoWkH3LPhWSyMCcPw==" workbookSpinCount="100000" lockStructure="1"/>
  <bookViews>
    <workbookView xWindow="-120" yWindow="-120" windowWidth="20730" windowHeight="11160" activeTab="2" xr2:uid="{00000000-000D-0000-FFFF-FFFF00000000}"/>
  </bookViews>
  <sheets>
    <sheet name="INTERMEDIARIO" sheetId="28" r:id="rId1"/>
    <sheet name="COTIZADOR" sheetId="22" r:id="rId2"/>
    <sheet name="OFERTA" sheetId="27" r:id="rId3"/>
    <sheet name="CSO2001" sheetId="7" state="hidden" r:id="rId4"/>
    <sheet name="TARIFAS T-10" sheetId="16" state="hidden" r:id="rId5"/>
    <sheet name="TARIFAS T-15" sheetId="17" state="hidden" r:id="rId6"/>
    <sheet name="TARIFAS T-20" sheetId="8" state="hidden" r:id="rId7"/>
    <sheet name="TARIFAS T-25" sheetId="21" state="hidden" r:id="rId8"/>
    <sheet name="TARIFAS T-30" sheetId="20" state="hidden" r:id="rId9"/>
    <sheet name="RESERVAS 20" sheetId="13" state="hidden" r:id="rId10"/>
    <sheet name="RESERVAS 10" sheetId="23" state="hidden" r:id="rId11"/>
    <sheet name="RESERVAS 15" sheetId="24" state="hidden" r:id="rId12"/>
    <sheet name="RESERVAS 30" sheetId="26" state="hidden" r:id="rId13"/>
    <sheet name="RESERVAS 25" sheetId="25" state="hidden" r:id="rId14"/>
  </sheets>
  <definedNames>
    <definedName name="_xlnm.Print_Area" localSheetId="3">'CSO2001'!$C$10:$M$109</definedName>
    <definedName name="_xlnm.Print_Area" localSheetId="2">OFERTA!$A$1:$O$58</definedName>
    <definedName name="_xlnm.Print_Area" localSheetId="9">'RESERVAS 20'!$C$48:$O$462</definedName>
    <definedName name="_xlnm.Print_Area" localSheetId="4">'TARIFAS T-10'!$B$22:$L$69</definedName>
    <definedName name="_xlnm.Print_Area" localSheetId="5">'TARIFAS T-15'!$B$22:$L$69</definedName>
    <definedName name="_xlnm.Print_Area" localSheetId="6">'TARIFAS T-20'!$B$22:$L$69</definedName>
    <definedName name="_xlnm.Print_Area" localSheetId="7">'TARIFAS T-25'!$B$22:$L$69</definedName>
    <definedName name="_xlnm.Print_Area" localSheetId="8">'TARIFAS T-30'!$B$22:$L$69</definedName>
    <definedName name="_xlnm.Print_Titles" localSheetId="3">'CSO2001'!$3:$9</definedName>
    <definedName name="_xlnm.Print_Titles" localSheetId="9">'RESERVAS 20'!$25:$25</definedName>
    <definedName name="_xlnm.Print_Titles" localSheetId="4">'TARIFAS T-10'!$1:$15</definedName>
    <definedName name="_xlnm.Print_Titles" localSheetId="5">'TARIFAS T-15'!$1:$15</definedName>
    <definedName name="_xlnm.Print_Titles" localSheetId="6">'TARIFAS T-20'!$1:$15</definedName>
    <definedName name="_xlnm.Print_Titles" localSheetId="7">'TARIFAS T-25'!$1:$15</definedName>
    <definedName name="_xlnm.Print_Titles" localSheetId="8">'TARIFAS T-30'!$1:$15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7" i="27" l="1"/>
  <c r="B45" i="27"/>
  <c r="T4" i="22"/>
  <c r="E8" i="27" l="1"/>
  <c r="AA12" i="27" s="1"/>
  <c r="J20" i="27" l="1"/>
  <c r="D16" i="22" l="1"/>
  <c r="L6" i="22"/>
  <c r="V3" i="22" s="1"/>
  <c r="L7" i="22"/>
  <c r="V2" i="22" s="1"/>
  <c r="F5" i="22" l="1"/>
  <c r="W12" i="27"/>
  <c r="Y12" i="27" s="1"/>
  <c r="F6" i="22"/>
  <c r="E10" i="27"/>
  <c r="H1" i="27"/>
  <c r="L56" i="27"/>
  <c r="B57" i="27"/>
  <c r="H57" i="27"/>
  <c r="B56" i="27"/>
  <c r="E13" i="27"/>
  <c r="E19" i="27"/>
  <c r="E18" i="27"/>
  <c r="E17" i="27"/>
  <c r="E16" i="27"/>
  <c r="E20" i="27" s="1"/>
  <c r="E7" i="27"/>
  <c r="E12" i="27"/>
  <c r="E11" i="27"/>
  <c r="E9" i="27"/>
  <c r="T3" i="22"/>
  <c r="T2" i="22"/>
  <c r="C27" i="25"/>
  <c r="C28" i="25" s="1"/>
  <c r="H26" i="25"/>
  <c r="J26" i="25"/>
  <c r="D26" i="25"/>
  <c r="B26" i="25"/>
  <c r="C27" i="26"/>
  <c r="H26" i="26"/>
  <c r="J26" i="26"/>
  <c r="D26" i="26"/>
  <c r="B26" i="26"/>
  <c r="C27" i="24"/>
  <c r="C28" i="24" s="1"/>
  <c r="H26" i="24"/>
  <c r="J26" i="24" s="1"/>
  <c r="D26" i="24"/>
  <c r="B26" i="24"/>
  <c r="C27" i="23"/>
  <c r="D27" i="23" s="1"/>
  <c r="H26" i="23"/>
  <c r="J26" i="23" s="1"/>
  <c r="D26" i="23"/>
  <c r="B26" i="23"/>
  <c r="B26" i="13"/>
  <c r="D26" i="13"/>
  <c r="H26" i="13"/>
  <c r="J26" i="13"/>
  <c r="H127" i="7"/>
  <c r="H75" i="7"/>
  <c r="H59" i="7"/>
  <c r="H10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B50" i="7" s="1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G130" i="7"/>
  <c r="H130" i="7" s="1"/>
  <c r="G129" i="7"/>
  <c r="H129" i="7" s="1"/>
  <c r="G128" i="7"/>
  <c r="H128" i="7" s="1"/>
  <c r="G127" i="7"/>
  <c r="G126" i="7"/>
  <c r="H126" i="7" s="1"/>
  <c r="G125" i="7"/>
  <c r="H125" i="7"/>
  <c r="G124" i="7"/>
  <c r="H124" i="7" s="1"/>
  <c r="G123" i="7"/>
  <c r="H123" i="7" s="1"/>
  <c r="G122" i="7"/>
  <c r="H122" i="7" s="1"/>
  <c r="G121" i="7"/>
  <c r="H121" i="7"/>
  <c r="G120" i="7"/>
  <c r="H120" i="7"/>
  <c r="G119" i="7"/>
  <c r="H119" i="7" s="1"/>
  <c r="G118" i="7"/>
  <c r="H118" i="7" s="1"/>
  <c r="G117" i="7"/>
  <c r="H117" i="7"/>
  <c r="G116" i="7"/>
  <c r="H116" i="7"/>
  <c r="G115" i="7"/>
  <c r="H115" i="7" s="1"/>
  <c r="G114" i="7"/>
  <c r="H114" i="7" s="1"/>
  <c r="G113" i="7"/>
  <c r="H113" i="7" s="1"/>
  <c r="G112" i="7"/>
  <c r="H112" i="7"/>
  <c r="G111" i="7"/>
  <c r="H111" i="7" s="1"/>
  <c r="G110" i="7"/>
  <c r="H110" i="7" s="1"/>
  <c r="N34" i="20"/>
  <c r="N35" i="20"/>
  <c r="B23" i="20"/>
  <c r="B24" i="20" s="1"/>
  <c r="B25" i="20" s="1"/>
  <c r="B26" i="20" s="1"/>
  <c r="B27" i="20" s="1"/>
  <c r="B28" i="20" s="1"/>
  <c r="B29" i="20" s="1"/>
  <c r="B30" i="20" s="1"/>
  <c r="N34" i="21"/>
  <c r="N35" i="21" s="1"/>
  <c r="B23" i="21"/>
  <c r="B24" i="21" s="1"/>
  <c r="N34" i="17"/>
  <c r="N35" i="17" s="1"/>
  <c r="B23" i="17"/>
  <c r="B23" i="16"/>
  <c r="B24" i="16" s="1"/>
  <c r="C27" i="13"/>
  <c r="C28" i="13" s="1"/>
  <c r="G11" i="7"/>
  <c r="H11" i="7" s="1"/>
  <c r="G12" i="7"/>
  <c r="H12" i="7" s="1"/>
  <c r="G13" i="7"/>
  <c r="H13" i="7" s="1"/>
  <c r="G14" i="7"/>
  <c r="H14" i="7" s="1"/>
  <c r="G15" i="7"/>
  <c r="H15" i="7" s="1"/>
  <c r="G16" i="7"/>
  <c r="H16" i="7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H23" i="7" s="1"/>
  <c r="G24" i="7"/>
  <c r="H24" i="7" s="1"/>
  <c r="G25" i="7"/>
  <c r="H25" i="7"/>
  <c r="G26" i="7"/>
  <c r="H26" i="7" s="1"/>
  <c r="G27" i="7"/>
  <c r="H27" i="7" s="1"/>
  <c r="G28" i="7"/>
  <c r="H28" i="7" s="1"/>
  <c r="G29" i="7"/>
  <c r="H29" i="7" s="1"/>
  <c r="G30" i="7"/>
  <c r="H30" i="7" s="1"/>
  <c r="G31" i="7"/>
  <c r="H31" i="7" s="1"/>
  <c r="G32" i="7"/>
  <c r="H32" i="7"/>
  <c r="G33" i="7"/>
  <c r="H33" i="7"/>
  <c r="G34" i="7"/>
  <c r="H34" i="7" s="1"/>
  <c r="G35" i="7"/>
  <c r="H35" i="7" s="1"/>
  <c r="G36" i="7"/>
  <c r="H36" i="7" s="1"/>
  <c r="G37" i="7"/>
  <c r="H37" i="7" s="1"/>
  <c r="G38" i="7"/>
  <c r="H38" i="7" s="1"/>
  <c r="G39" i="7"/>
  <c r="H39" i="7" s="1"/>
  <c r="G40" i="7"/>
  <c r="H40" i="7"/>
  <c r="G41" i="7"/>
  <c r="H41" i="7" s="1"/>
  <c r="G42" i="7"/>
  <c r="H42" i="7" s="1"/>
  <c r="G43" i="7"/>
  <c r="H43" i="7" s="1"/>
  <c r="G44" i="7"/>
  <c r="H44" i="7"/>
  <c r="G45" i="7"/>
  <c r="H45" i="7" s="1"/>
  <c r="G46" i="7"/>
  <c r="H46" i="7" s="1"/>
  <c r="G47" i="7"/>
  <c r="H47" i="7" s="1"/>
  <c r="G48" i="7"/>
  <c r="H48" i="7"/>
  <c r="G49" i="7"/>
  <c r="H49" i="7"/>
  <c r="G50" i="7"/>
  <c r="H50" i="7" s="1"/>
  <c r="G51" i="7"/>
  <c r="H51" i="7" s="1"/>
  <c r="G52" i="7"/>
  <c r="H52" i="7" s="1"/>
  <c r="G53" i="7"/>
  <c r="H53" i="7" s="1"/>
  <c r="G54" i="7"/>
  <c r="H54" i="7" s="1"/>
  <c r="G55" i="7"/>
  <c r="H55" i="7" s="1"/>
  <c r="G56" i="7"/>
  <c r="H56" i="7" s="1"/>
  <c r="G57" i="7"/>
  <c r="H57" i="7" s="1"/>
  <c r="G58" i="7"/>
  <c r="H58" i="7" s="1"/>
  <c r="G59" i="7"/>
  <c r="G60" i="7"/>
  <c r="H60" i="7"/>
  <c r="G61" i="7"/>
  <c r="H61" i="7" s="1"/>
  <c r="G62" i="7"/>
  <c r="H62" i="7" s="1"/>
  <c r="G63" i="7"/>
  <c r="H63" i="7" s="1"/>
  <c r="G64" i="7"/>
  <c r="H64" i="7" s="1"/>
  <c r="G65" i="7"/>
  <c r="H65" i="7"/>
  <c r="G66" i="7"/>
  <c r="H66" i="7" s="1"/>
  <c r="G67" i="7"/>
  <c r="H67" i="7" s="1"/>
  <c r="G68" i="7"/>
  <c r="H68" i="7" s="1"/>
  <c r="G69" i="7"/>
  <c r="H69" i="7" s="1"/>
  <c r="G70" i="7"/>
  <c r="H70" i="7" s="1"/>
  <c r="G71" i="7"/>
  <c r="H71" i="7" s="1"/>
  <c r="G72" i="7"/>
  <c r="H72" i="7" s="1"/>
  <c r="G73" i="7"/>
  <c r="H73" i="7" s="1"/>
  <c r="G74" i="7"/>
  <c r="H74" i="7" s="1"/>
  <c r="G75" i="7"/>
  <c r="G76" i="7"/>
  <c r="H76" i="7"/>
  <c r="G77" i="7"/>
  <c r="H77" i="7" s="1"/>
  <c r="G78" i="7"/>
  <c r="H78" i="7" s="1"/>
  <c r="G79" i="7"/>
  <c r="H79" i="7" s="1"/>
  <c r="G80" i="7"/>
  <c r="H80" i="7" s="1"/>
  <c r="G81" i="7"/>
  <c r="H81" i="7"/>
  <c r="G82" i="7"/>
  <c r="H82" i="7" s="1"/>
  <c r="G83" i="7"/>
  <c r="H83" i="7" s="1"/>
  <c r="G84" i="7"/>
  <c r="H84" i="7" s="1"/>
  <c r="G85" i="7"/>
  <c r="H85" i="7" s="1"/>
  <c r="G86" i="7"/>
  <c r="H86" i="7" s="1"/>
  <c r="G87" i="7"/>
  <c r="H87" i="7" s="1"/>
  <c r="G88" i="7"/>
  <c r="H88" i="7" s="1"/>
  <c r="G89" i="7"/>
  <c r="H89" i="7" s="1"/>
  <c r="G90" i="7"/>
  <c r="H90" i="7" s="1"/>
  <c r="G91" i="7"/>
  <c r="H91" i="7" s="1"/>
  <c r="G92" i="7"/>
  <c r="H92" i="7"/>
  <c r="G93" i="7"/>
  <c r="H93" i="7" s="1"/>
  <c r="G94" i="7"/>
  <c r="H94" i="7" s="1"/>
  <c r="G95" i="7"/>
  <c r="H95" i="7" s="1"/>
  <c r="G96" i="7"/>
  <c r="H96" i="7" s="1"/>
  <c r="G97" i="7"/>
  <c r="H97" i="7"/>
  <c r="G98" i="7"/>
  <c r="H98" i="7" s="1"/>
  <c r="G99" i="7"/>
  <c r="H99" i="7" s="1"/>
  <c r="G100" i="7"/>
  <c r="H100" i="7" s="1"/>
  <c r="G101" i="7"/>
  <c r="H101" i="7" s="1"/>
  <c r="G102" i="7"/>
  <c r="H102" i="7" s="1"/>
  <c r="G103" i="7"/>
  <c r="H103" i="7" s="1"/>
  <c r="G104" i="7"/>
  <c r="H104" i="7" s="1"/>
  <c r="G105" i="7"/>
  <c r="H105" i="7" s="1"/>
  <c r="G106" i="7"/>
  <c r="H106" i="7" s="1"/>
  <c r="G107" i="7"/>
  <c r="H107" i="7" s="1"/>
  <c r="G108" i="7"/>
  <c r="H108" i="7"/>
  <c r="G109" i="7"/>
  <c r="H109" i="7" s="1"/>
  <c r="B23" i="8"/>
  <c r="B24" i="8" s="1"/>
  <c r="B25" i="8" s="1"/>
  <c r="B26" i="8" s="1"/>
  <c r="B27" i="8" s="1"/>
  <c r="N34" i="8"/>
  <c r="N35" i="8" s="1"/>
  <c r="C11" i="7"/>
  <c r="C12" i="7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J10" i="7"/>
  <c r="I8" i="7"/>
  <c r="J8" i="7"/>
  <c r="K8" i="7" s="1"/>
  <c r="L8" i="7" s="1"/>
  <c r="M8" i="7" s="1"/>
  <c r="D8" i="7"/>
  <c r="G10" i="7"/>
  <c r="C28" i="26"/>
  <c r="D27" i="26"/>
  <c r="D27" i="24"/>
  <c r="D28" i="26"/>
  <c r="C29" i="26"/>
  <c r="D29" i="26" s="1"/>
  <c r="D28" i="13" l="1"/>
  <c r="C29" i="13"/>
  <c r="C29" i="25"/>
  <c r="D28" i="25"/>
  <c r="C29" i="24"/>
  <c r="D28" i="24"/>
  <c r="C28" i="23"/>
  <c r="D27" i="13"/>
  <c r="D27" i="25"/>
  <c r="Y17" i="27"/>
  <c r="Y13" i="27"/>
  <c r="Y15" i="27"/>
  <c r="Y16" i="27"/>
  <c r="Y14" i="27"/>
  <c r="C60" i="7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3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B28" i="8"/>
  <c r="C30" i="26"/>
  <c r="B31" i="20"/>
  <c r="B24" i="17"/>
  <c r="I10" i="7"/>
  <c r="L10" i="7" s="1"/>
  <c r="D11" i="7"/>
  <c r="D29" i="13"/>
  <c r="C30" i="13"/>
  <c r="B25" i="21"/>
  <c r="B25" i="16"/>
  <c r="D29" i="24" l="1"/>
  <c r="C30" i="24"/>
  <c r="C29" i="23"/>
  <c r="D28" i="23"/>
  <c r="D29" i="25"/>
  <c r="C30" i="25"/>
  <c r="AA13" i="27"/>
  <c r="B24" i="27" s="1"/>
  <c r="I11" i="7"/>
  <c r="L11" i="7" s="1"/>
  <c r="J11" i="7"/>
  <c r="D12" i="7"/>
  <c r="D30" i="13"/>
  <c r="C31" i="13"/>
  <c r="B32" i="20"/>
  <c r="D30" i="26"/>
  <c r="C31" i="26"/>
  <c r="B29" i="8"/>
  <c r="B25" i="17"/>
  <c r="B26" i="21"/>
  <c r="B26" i="16"/>
  <c r="C31" i="25" l="1"/>
  <c r="D30" i="25"/>
  <c r="D29" i="23"/>
  <c r="C30" i="23"/>
  <c r="D30" i="24"/>
  <c r="C31" i="24"/>
  <c r="D31" i="26"/>
  <c r="C32" i="26"/>
  <c r="B33" i="20"/>
  <c r="D31" i="13"/>
  <c r="C32" i="13"/>
  <c r="B26" i="17"/>
  <c r="D13" i="7"/>
  <c r="J12" i="7"/>
  <c r="I12" i="7"/>
  <c r="L12" i="7" s="1"/>
  <c r="B30" i="8"/>
  <c r="B27" i="21"/>
  <c r="B27" i="16"/>
  <c r="C32" i="24" l="1"/>
  <c r="D31" i="24"/>
  <c r="D30" i="23"/>
  <c r="C31" i="23"/>
  <c r="C32" i="25"/>
  <c r="D31" i="25"/>
  <c r="D32" i="13"/>
  <c r="C33" i="13"/>
  <c r="B31" i="8"/>
  <c r="B27" i="17"/>
  <c r="B34" i="20"/>
  <c r="D32" i="26"/>
  <c r="C33" i="26"/>
  <c r="I13" i="7"/>
  <c r="L13" i="7" s="1"/>
  <c r="D14" i="7"/>
  <c r="J13" i="7"/>
  <c r="B28" i="21"/>
  <c r="B28" i="16"/>
  <c r="C33" i="25" l="1"/>
  <c r="D32" i="25"/>
  <c r="C32" i="23"/>
  <c r="D31" i="23"/>
  <c r="C33" i="24"/>
  <c r="D32" i="24"/>
  <c r="C34" i="13"/>
  <c r="D33" i="13"/>
  <c r="B35" i="20"/>
  <c r="B32" i="8"/>
  <c r="B28" i="17"/>
  <c r="J14" i="7"/>
  <c r="I14" i="7"/>
  <c r="L14" i="7" s="1"/>
  <c r="D15" i="7"/>
  <c r="C34" i="26"/>
  <c r="D33" i="26"/>
  <c r="B29" i="21"/>
  <c r="B29" i="16"/>
  <c r="D33" i="24" l="1"/>
  <c r="C34" i="24"/>
  <c r="D32" i="23"/>
  <c r="C33" i="23"/>
  <c r="C34" i="25"/>
  <c r="D33" i="25"/>
  <c r="B33" i="8"/>
  <c r="B36" i="20"/>
  <c r="B29" i="17"/>
  <c r="C35" i="26"/>
  <c r="D34" i="26"/>
  <c r="C35" i="13"/>
  <c r="D34" i="13"/>
  <c r="D16" i="7"/>
  <c r="I15" i="7"/>
  <c r="L15" i="7" s="1"/>
  <c r="J15" i="7"/>
  <c r="B30" i="21"/>
  <c r="B30" i="16"/>
  <c r="D34" i="25" l="1"/>
  <c r="C35" i="25"/>
  <c r="D33" i="23"/>
  <c r="C34" i="23"/>
  <c r="D34" i="24"/>
  <c r="C35" i="24"/>
  <c r="C36" i="26"/>
  <c r="D35" i="26"/>
  <c r="B34" i="8"/>
  <c r="B30" i="17"/>
  <c r="D17" i="7"/>
  <c r="I16" i="7"/>
  <c r="L16" i="7" s="1"/>
  <c r="J16" i="7"/>
  <c r="D35" i="13"/>
  <c r="C36" i="13"/>
  <c r="B37" i="20"/>
  <c r="B31" i="21"/>
  <c r="B31" i="16"/>
  <c r="C36" i="24" l="1"/>
  <c r="D35" i="24"/>
  <c r="D34" i="23"/>
  <c r="C35" i="23"/>
  <c r="D35" i="23" s="1"/>
  <c r="C36" i="25"/>
  <c r="D35" i="25"/>
  <c r="D18" i="7"/>
  <c r="I17" i="7"/>
  <c r="L17" i="7" s="1"/>
  <c r="J17" i="7"/>
  <c r="C37" i="13"/>
  <c r="D36" i="13"/>
  <c r="B31" i="17"/>
  <c r="D36" i="26"/>
  <c r="C37" i="26"/>
  <c r="B38" i="20"/>
  <c r="B35" i="8"/>
  <c r="B32" i="21"/>
  <c r="B32" i="16"/>
  <c r="D36" i="25" l="1"/>
  <c r="C37" i="25"/>
  <c r="C37" i="24"/>
  <c r="D36" i="24"/>
  <c r="D19" i="7"/>
  <c r="I18" i="7"/>
  <c r="L18" i="7" s="1"/>
  <c r="J18" i="7"/>
  <c r="B39" i="20"/>
  <c r="B32" i="17"/>
  <c r="B36" i="8"/>
  <c r="D37" i="26"/>
  <c r="C38" i="26"/>
  <c r="D37" i="13"/>
  <c r="C38" i="13"/>
  <c r="B33" i="21"/>
  <c r="B33" i="16"/>
  <c r="C38" i="24" l="1"/>
  <c r="D37" i="24"/>
  <c r="C38" i="25"/>
  <c r="D37" i="25"/>
  <c r="D38" i="26"/>
  <c r="C39" i="26"/>
  <c r="B40" i="20"/>
  <c r="B37" i="8"/>
  <c r="C39" i="13"/>
  <c r="D38" i="13"/>
  <c r="D20" i="7"/>
  <c r="I19" i="7"/>
  <c r="L19" i="7" s="1"/>
  <c r="J19" i="7"/>
  <c r="B33" i="17"/>
  <c r="B34" i="21"/>
  <c r="B34" i="16"/>
  <c r="D38" i="25" l="1"/>
  <c r="C39" i="25"/>
  <c r="C39" i="24"/>
  <c r="D38" i="24"/>
  <c r="D21" i="7"/>
  <c r="I20" i="7"/>
  <c r="L20" i="7" s="1"/>
  <c r="J20" i="7"/>
  <c r="B38" i="8"/>
  <c r="B41" i="20"/>
  <c r="D39" i="13"/>
  <c r="C40" i="13"/>
  <c r="C40" i="26"/>
  <c r="D39" i="26"/>
  <c r="B34" i="17"/>
  <c r="B35" i="21"/>
  <c r="B35" i="16"/>
  <c r="C40" i="24" l="1"/>
  <c r="D40" i="24" s="1"/>
  <c r="D39" i="24"/>
  <c r="C40" i="25"/>
  <c r="D39" i="25"/>
  <c r="B35" i="17"/>
  <c r="C41" i="13"/>
  <c r="D40" i="13"/>
  <c r="D22" i="7"/>
  <c r="I21" i="7"/>
  <c r="L21" i="7" s="1"/>
  <c r="J21" i="7"/>
  <c r="B42" i="20"/>
  <c r="C41" i="26"/>
  <c r="D40" i="26"/>
  <c r="B39" i="8"/>
  <c r="B36" i="21"/>
  <c r="B36" i="16"/>
  <c r="C41" i="25" l="1"/>
  <c r="D40" i="25"/>
  <c r="B40" i="8"/>
  <c r="D41" i="13"/>
  <c r="C42" i="13"/>
  <c r="B43" i="20"/>
  <c r="B36" i="17"/>
  <c r="C42" i="26"/>
  <c r="D41" i="26"/>
  <c r="J22" i="7"/>
  <c r="I22" i="7"/>
  <c r="L22" i="7" s="1"/>
  <c r="D23" i="7"/>
  <c r="B37" i="21"/>
  <c r="B37" i="16"/>
  <c r="C42" i="25" l="1"/>
  <c r="D41" i="25"/>
  <c r="J23" i="7"/>
  <c r="D24" i="7"/>
  <c r="I23" i="7"/>
  <c r="L23" i="7" s="1"/>
  <c r="B37" i="17"/>
  <c r="B44" i="20"/>
  <c r="B41" i="8"/>
  <c r="C43" i="26"/>
  <c r="D42" i="26"/>
  <c r="D42" i="13"/>
  <c r="C43" i="13"/>
  <c r="B38" i="21"/>
  <c r="B38" i="16"/>
  <c r="C43" i="25" l="1"/>
  <c r="D42" i="25"/>
  <c r="B42" i="8"/>
  <c r="J24" i="7"/>
  <c r="I24" i="7"/>
  <c r="L24" i="7" s="1"/>
  <c r="D25" i="7"/>
  <c r="B45" i="20"/>
  <c r="B38" i="17"/>
  <c r="C44" i="26"/>
  <c r="D43" i="26"/>
  <c r="D43" i="13"/>
  <c r="C44" i="13"/>
  <c r="B39" i="21"/>
  <c r="B39" i="16"/>
  <c r="C44" i="25" l="1"/>
  <c r="D43" i="25"/>
  <c r="B43" i="8"/>
  <c r="B46" i="20"/>
  <c r="C45" i="26"/>
  <c r="D44" i="26"/>
  <c r="C45" i="13"/>
  <c r="D44" i="13"/>
  <c r="B39" i="17"/>
  <c r="J25" i="7"/>
  <c r="I25" i="7"/>
  <c r="L25" i="7" s="1"/>
  <c r="D26" i="7"/>
  <c r="B40" i="21"/>
  <c r="B40" i="16"/>
  <c r="C45" i="25" l="1"/>
  <c r="D44" i="25"/>
  <c r="C46" i="26"/>
  <c r="D45" i="26"/>
  <c r="B47" i="20"/>
  <c r="B40" i="17"/>
  <c r="D27" i="7"/>
  <c r="I26" i="7"/>
  <c r="L26" i="7" s="1"/>
  <c r="J26" i="7"/>
  <c r="D45" i="13"/>
  <c r="B44" i="8"/>
  <c r="B41" i="21"/>
  <c r="B41" i="16"/>
  <c r="D45" i="25" l="1"/>
  <c r="C46" i="25"/>
  <c r="B48" i="20"/>
  <c r="B45" i="8"/>
  <c r="C47" i="26"/>
  <c r="D46" i="26"/>
  <c r="J27" i="7"/>
  <c r="I27" i="7"/>
  <c r="L27" i="7" s="1"/>
  <c r="D28" i="7"/>
  <c r="B41" i="17"/>
  <c r="B42" i="21"/>
  <c r="B42" i="16"/>
  <c r="D46" i="25" l="1"/>
  <c r="C47" i="25"/>
  <c r="B46" i="8"/>
  <c r="J28" i="7"/>
  <c r="I28" i="7"/>
  <c r="L28" i="7" s="1"/>
  <c r="D29" i="7"/>
  <c r="B49" i="20"/>
  <c r="B42" i="17"/>
  <c r="C48" i="26"/>
  <c r="D47" i="26"/>
  <c r="B43" i="21"/>
  <c r="B43" i="16"/>
  <c r="C48" i="25" l="1"/>
  <c r="D47" i="25"/>
  <c r="B50" i="20"/>
  <c r="D48" i="26"/>
  <c r="C49" i="26"/>
  <c r="I29" i="7"/>
  <c r="L29" i="7" s="1"/>
  <c r="D30" i="7"/>
  <c r="J29" i="7"/>
  <c r="B47" i="8"/>
  <c r="B43" i="17"/>
  <c r="B44" i="21"/>
  <c r="B44" i="16"/>
  <c r="C49" i="25" l="1"/>
  <c r="D48" i="25"/>
  <c r="D49" i="26"/>
  <c r="C50" i="26"/>
  <c r="B44" i="17"/>
  <c r="B48" i="8"/>
  <c r="B51" i="20"/>
  <c r="D31" i="7"/>
  <c r="J30" i="7"/>
  <c r="I30" i="7"/>
  <c r="L30" i="7" s="1"/>
  <c r="B45" i="21"/>
  <c r="B45" i="16"/>
  <c r="C50" i="25" l="1"/>
  <c r="D50" i="25" s="1"/>
  <c r="D49" i="25"/>
  <c r="J31" i="7"/>
  <c r="I31" i="7"/>
  <c r="L31" i="7" s="1"/>
  <c r="D32" i="7"/>
  <c r="B45" i="17"/>
  <c r="B52" i="20"/>
  <c r="C51" i="26"/>
  <c r="D50" i="26"/>
  <c r="B49" i="8"/>
  <c r="B46" i="21"/>
  <c r="B46" i="16"/>
  <c r="B46" i="17" l="1"/>
  <c r="D51" i="26"/>
  <c r="C52" i="26"/>
  <c r="J32" i="7"/>
  <c r="I32" i="7"/>
  <c r="L32" i="7" s="1"/>
  <c r="D33" i="7"/>
  <c r="B53" i="20"/>
  <c r="B50" i="8"/>
  <c r="B47" i="21"/>
  <c r="B47" i="16"/>
  <c r="D52" i="26" l="1"/>
  <c r="C53" i="26"/>
  <c r="B54" i="20"/>
  <c r="B47" i="17"/>
  <c r="B51" i="8"/>
  <c r="I33" i="7"/>
  <c r="L33" i="7" s="1"/>
  <c r="D34" i="7"/>
  <c r="J33" i="7"/>
  <c r="B48" i="21"/>
  <c r="B48" i="16"/>
  <c r="B48" i="17" l="1"/>
  <c r="C54" i="26"/>
  <c r="D53" i="26"/>
  <c r="B55" i="20"/>
  <c r="B52" i="8"/>
  <c r="D35" i="7"/>
  <c r="I34" i="7"/>
  <c r="L34" i="7" s="1"/>
  <c r="J34" i="7"/>
  <c r="B49" i="21"/>
  <c r="B49" i="16"/>
  <c r="B53" i="8" l="1"/>
  <c r="C55" i="26"/>
  <c r="D54" i="26"/>
  <c r="J35" i="7"/>
  <c r="I35" i="7"/>
  <c r="L35" i="7" s="1"/>
  <c r="D36" i="7"/>
  <c r="B49" i="17"/>
  <c r="B56" i="20"/>
  <c r="B50" i="21"/>
  <c r="B50" i="16"/>
  <c r="B57" i="20" l="1"/>
  <c r="D55" i="26"/>
  <c r="D37" i="7"/>
  <c r="I36" i="7"/>
  <c r="L36" i="7" s="1"/>
  <c r="J36" i="7"/>
  <c r="B54" i="8"/>
  <c r="B50" i="17"/>
  <c r="P33" i="7"/>
  <c r="B51" i="21"/>
  <c r="B51" i="16"/>
  <c r="D38" i="7" l="1"/>
  <c r="I37" i="7"/>
  <c r="L37" i="7" s="1"/>
  <c r="J37" i="7"/>
  <c r="B51" i="17"/>
  <c r="B55" i="8"/>
  <c r="B58" i="20"/>
  <c r="B52" i="21"/>
  <c r="B52" i="16"/>
  <c r="P34" i="7" l="1"/>
  <c r="J38" i="7"/>
  <c r="D39" i="7"/>
  <c r="I38" i="7"/>
  <c r="L38" i="7" s="1"/>
  <c r="B59" i="20"/>
  <c r="B56" i="8"/>
  <c r="B52" i="17"/>
  <c r="B53" i="21"/>
  <c r="B53" i="16"/>
  <c r="B53" i="17" l="1"/>
  <c r="J39" i="7"/>
  <c r="I39" i="7"/>
  <c r="L39" i="7" s="1"/>
  <c r="D40" i="7"/>
  <c r="B60" i="20"/>
  <c r="B57" i="8"/>
  <c r="B54" i="21"/>
  <c r="B54" i="16"/>
  <c r="D41" i="7" l="1"/>
  <c r="I40" i="7"/>
  <c r="L40" i="7" s="1"/>
  <c r="J40" i="7"/>
  <c r="B61" i="20"/>
  <c r="B58" i="8"/>
  <c r="B54" i="17"/>
  <c r="B55" i="21"/>
  <c r="B55" i="16"/>
  <c r="B59" i="8" l="1"/>
  <c r="B62" i="20"/>
  <c r="B55" i="17"/>
  <c r="I41" i="7"/>
  <c r="L41" i="7" s="1"/>
  <c r="J41" i="7"/>
  <c r="D42" i="7"/>
  <c r="B56" i="21"/>
  <c r="B56" i="16"/>
  <c r="B63" i="20" l="1"/>
  <c r="B60" i="8"/>
  <c r="I42" i="7"/>
  <c r="L42" i="7" s="1"/>
  <c r="D43" i="7"/>
  <c r="J42" i="7"/>
  <c r="B56" i="17"/>
  <c r="B57" i="21"/>
  <c r="B57" i="16"/>
  <c r="B64" i="20" l="1"/>
  <c r="B61" i="8"/>
  <c r="B57" i="17"/>
  <c r="D44" i="7"/>
  <c r="I43" i="7"/>
  <c r="L43" i="7" s="1"/>
  <c r="J43" i="7"/>
  <c r="B58" i="21"/>
  <c r="B58" i="16"/>
  <c r="B62" i="8" l="1"/>
  <c r="B58" i="17"/>
  <c r="J44" i="7"/>
  <c r="I44" i="7"/>
  <c r="L44" i="7" s="1"/>
  <c r="D45" i="7"/>
  <c r="B65" i="20"/>
  <c r="B59" i="21"/>
  <c r="B59" i="16"/>
  <c r="B66" i="20" l="1"/>
  <c r="B63" i="8"/>
  <c r="J45" i="7"/>
  <c r="I45" i="7"/>
  <c r="L45" i="7" s="1"/>
  <c r="D46" i="7"/>
  <c r="B59" i="17"/>
  <c r="B60" i="21"/>
  <c r="B60" i="16"/>
  <c r="B64" i="8" l="1"/>
  <c r="I46" i="7"/>
  <c r="L46" i="7" s="1"/>
  <c r="D47" i="7"/>
  <c r="J46" i="7"/>
  <c r="B67" i="20"/>
  <c r="B60" i="17"/>
  <c r="B61" i="21"/>
  <c r="B61" i="16"/>
  <c r="B61" i="17" l="1"/>
  <c r="B65" i="8"/>
  <c r="B68" i="20"/>
  <c r="I47" i="7"/>
  <c r="L47" i="7" s="1"/>
  <c r="J47" i="7"/>
  <c r="D48" i="7"/>
  <c r="B62" i="21"/>
  <c r="B62" i="16"/>
  <c r="B69" i="20" l="1"/>
  <c r="D49" i="7"/>
  <c r="I48" i="7"/>
  <c r="L48" i="7" s="1"/>
  <c r="J48" i="7"/>
  <c r="B66" i="8"/>
  <c r="B62" i="17"/>
  <c r="B63" i="21"/>
  <c r="B63" i="16"/>
  <c r="B63" i="17" l="1"/>
  <c r="B70" i="20"/>
  <c r="I49" i="7"/>
  <c r="L49" i="7" s="1"/>
  <c r="D50" i="7"/>
  <c r="J49" i="7"/>
  <c r="B67" i="8"/>
  <c r="B64" i="21"/>
  <c r="B64" i="16"/>
  <c r="D51" i="7" l="1"/>
  <c r="J50" i="7"/>
  <c r="I50" i="7"/>
  <c r="L50" i="7" s="1"/>
  <c r="B71" i="20"/>
  <c r="B64" i="17"/>
  <c r="B68" i="8"/>
  <c r="B65" i="21"/>
  <c r="B65" i="16"/>
  <c r="B69" i="8" l="1"/>
  <c r="D52" i="7"/>
  <c r="I51" i="7"/>
  <c r="L51" i="7" s="1"/>
  <c r="J51" i="7"/>
  <c r="B72" i="20"/>
  <c r="B65" i="17"/>
  <c r="B66" i="21"/>
  <c r="B66" i="16"/>
  <c r="J52" i="7" l="1"/>
  <c r="I52" i="7"/>
  <c r="L52" i="7" s="1"/>
  <c r="D53" i="7"/>
  <c r="B73" i="20"/>
  <c r="B66" i="17"/>
  <c r="B70" i="8"/>
  <c r="B67" i="21"/>
  <c r="B67" i="16"/>
  <c r="B74" i="20" l="1"/>
  <c r="D54" i="7"/>
  <c r="I53" i="7"/>
  <c r="L53" i="7" s="1"/>
  <c r="J53" i="7"/>
  <c r="B71" i="8"/>
  <c r="B67" i="17"/>
  <c r="B68" i="21"/>
  <c r="B68" i="16"/>
  <c r="I54" i="7" l="1"/>
  <c r="L54" i="7" s="1"/>
  <c r="J54" i="7"/>
  <c r="D55" i="7"/>
  <c r="B68" i="17"/>
  <c r="B72" i="8"/>
  <c r="B69" i="21"/>
  <c r="B69" i="16"/>
  <c r="B73" i="8" l="1"/>
  <c r="B69" i="17"/>
  <c r="I55" i="7"/>
  <c r="L55" i="7" s="1"/>
  <c r="J55" i="7"/>
  <c r="D56" i="7"/>
  <c r="B70" i="21"/>
  <c r="B70" i="16"/>
  <c r="B70" i="17" l="1"/>
  <c r="B74" i="8"/>
  <c r="J56" i="7"/>
  <c r="I56" i="7"/>
  <c r="L56" i="7" s="1"/>
  <c r="D57" i="7"/>
  <c r="B71" i="21"/>
  <c r="B71" i="16"/>
  <c r="B71" i="17" l="1"/>
  <c r="I57" i="7"/>
  <c r="L57" i="7" s="1"/>
  <c r="D58" i="7"/>
  <c r="J57" i="7"/>
  <c r="B72" i="21"/>
  <c r="B72" i="16"/>
  <c r="B72" i="17" l="1"/>
  <c r="J58" i="7"/>
  <c r="I58" i="7"/>
  <c r="L58" i="7" s="1"/>
  <c r="D59" i="7"/>
  <c r="B73" i="21"/>
  <c r="B73" i="16"/>
  <c r="B73" i="17" l="1"/>
  <c r="I59" i="7"/>
  <c r="L59" i="7" s="1"/>
  <c r="J59" i="7"/>
  <c r="D60" i="7"/>
  <c r="B74" i="21"/>
  <c r="B74" i="16"/>
  <c r="D61" i="7" l="1"/>
  <c r="I60" i="7"/>
  <c r="L60" i="7" s="1"/>
  <c r="J60" i="7"/>
  <c r="B74" i="17"/>
  <c r="I61" i="7" l="1"/>
  <c r="L61" i="7" s="1"/>
  <c r="J61" i="7"/>
  <c r="D62" i="7"/>
  <c r="D63" i="7" l="1"/>
  <c r="I62" i="7"/>
  <c r="L62" i="7" s="1"/>
  <c r="J62" i="7"/>
  <c r="I63" i="7" l="1"/>
  <c r="L63" i="7" s="1"/>
  <c r="D64" i="7"/>
  <c r="J63" i="7"/>
  <c r="J64" i="7" l="1"/>
  <c r="I64" i="7"/>
  <c r="L64" i="7" s="1"/>
  <c r="D65" i="7"/>
  <c r="I65" i="7" l="1"/>
  <c r="L65" i="7" s="1"/>
  <c r="D66" i="7"/>
  <c r="J65" i="7"/>
  <c r="D67" i="7" l="1"/>
  <c r="I66" i="7"/>
  <c r="L66" i="7" s="1"/>
  <c r="J66" i="7"/>
  <c r="I67" i="7" l="1"/>
  <c r="L67" i="7" s="1"/>
  <c r="D68" i="7"/>
  <c r="J67" i="7"/>
  <c r="D69" i="7" l="1"/>
  <c r="I68" i="7"/>
  <c r="L68" i="7" s="1"/>
  <c r="J68" i="7"/>
  <c r="I69" i="7" l="1"/>
  <c r="L69" i="7" s="1"/>
  <c r="J69" i="7"/>
  <c r="D70" i="7"/>
  <c r="D71" i="7" l="1"/>
  <c r="I70" i="7"/>
  <c r="L70" i="7" s="1"/>
  <c r="J70" i="7"/>
  <c r="I71" i="7" l="1"/>
  <c r="L71" i="7" s="1"/>
  <c r="D72" i="7"/>
  <c r="J71" i="7"/>
  <c r="D73" i="7" l="1"/>
  <c r="I72" i="7"/>
  <c r="L72" i="7" s="1"/>
  <c r="J72" i="7"/>
  <c r="I73" i="7" l="1"/>
  <c r="L73" i="7" s="1"/>
  <c r="J73" i="7"/>
  <c r="D74" i="7"/>
  <c r="J74" i="7" l="1"/>
  <c r="I74" i="7"/>
  <c r="L74" i="7" s="1"/>
  <c r="D75" i="7"/>
  <c r="I75" i="7" l="1"/>
  <c r="L75" i="7" s="1"/>
  <c r="J75" i="7"/>
  <c r="D76" i="7"/>
  <c r="J76" i="7" l="1"/>
  <c r="I76" i="7"/>
  <c r="L76" i="7" s="1"/>
  <c r="D77" i="7"/>
  <c r="I77" i="7" l="1"/>
  <c r="L77" i="7" s="1"/>
  <c r="D78" i="7"/>
  <c r="J77" i="7"/>
  <c r="D79" i="7" l="1"/>
  <c r="I78" i="7"/>
  <c r="L78" i="7" s="1"/>
  <c r="J78" i="7"/>
  <c r="I79" i="7" l="1"/>
  <c r="L79" i="7" s="1"/>
  <c r="D80" i="7"/>
  <c r="J79" i="7"/>
  <c r="J80" i="7" l="1"/>
  <c r="I80" i="7"/>
  <c r="L80" i="7" s="1"/>
  <c r="D81" i="7"/>
  <c r="I81" i="7" l="1"/>
  <c r="L81" i="7" s="1"/>
  <c r="D82" i="7"/>
  <c r="J81" i="7"/>
  <c r="D83" i="7" l="1"/>
  <c r="I82" i="7"/>
  <c r="L82" i="7" s="1"/>
  <c r="J82" i="7"/>
  <c r="I83" i="7" l="1"/>
  <c r="L83" i="7" s="1"/>
  <c r="D84" i="7"/>
  <c r="J83" i="7"/>
  <c r="J84" i="7" l="1"/>
  <c r="I84" i="7"/>
  <c r="L84" i="7" s="1"/>
  <c r="D85" i="7"/>
  <c r="I85" i="7" l="1"/>
  <c r="L85" i="7" s="1"/>
  <c r="D86" i="7"/>
  <c r="J85" i="7"/>
  <c r="D87" i="7" l="1"/>
  <c r="I86" i="7"/>
  <c r="L86" i="7" s="1"/>
  <c r="J86" i="7"/>
  <c r="I87" i="7" l="1"/>
  <c r="L87" i="7" s="1"/>
  <c r="D88" i="7"/>
  <c r="J87" i="7"/>
  <c r="J88" i="7" l="1"/>
  <c r="I88" i="7"/>
  <c r="L88" i="7" s="1"/>
  <c r="D89" i="7"/>
  <c r="I89" i="7" l="1"/>
  <c r="L89" i="7" s="1"/>
  <c r="J89" i="7"/>
  <c r="D90" i="7"/>
  <c r="D91" i="7" l="1"/>
  <c r="I90" i="7"/>
  <c r="L90" i="7" s="1"/>
  <c r="J90" i="7"/>
  <c r="I91" i="7" l="1"/>
  <c r="L91" i="7" s="1"/>
  <c r="D92" i="7"/>
  <c r="J91" i="7"/>
  <c r="D93" i="7" l="1"/>
  <c r="I92" i="7"/>
  <c r="L92" i="7" s="1"/>
  <c r="J92" i="7"/>
  <c r="I93" i="7" l="1"/>
  <c r="L93" i="7" s="1"/>
  <c r="J93" i="7"/>
  <c r="D94" i="7"/>
  <c r="J94" i="7" l="1"/>
  <c r="I94" i="7"/>
  <c r="L94" i="7" s="1"/>
  <c r="D95" i="7"/>
  <c r="I95" i="7" l="1"/>
  <c r="L95" i="7" s="1"/>
  <c r="J95" i="7"/>
  <c r="D96" i="7"/>
  <c r="J96" i="7" l="1"/>
  <c r="I96" i="7"/>
  <c r="L96" i="7" s="1"/>
  <c r="D97" i="7"/>
  <c r="I97" i="7" l="1"/>
  <c r="L97" i="7" s="1"/>
  <c r="J97" i="7"/>
  <c r="D98" i="7"/>
  <c r="J98" i="7" l="1"/>
  <c r="I98" i="7"/>
  <c r="L98" i="7" s="1"/>
  <c r="D99" i="7"/>
  <c r="I99" i="7" l="1"/>
  <c r="L99" i="7" s="1"/>
  <c r="D100" i="7"/>
  <c r="J99" i="7"/>
  <c r="D101" i="7" l="1"/>
  <c r="I100" i="7"/>
  <c r="L100" i="7" s="1"/>
  <c r="J100" i="7"/>
  <c r="I101" i="7" l="1"/>
  <c r="L101" i="7" s="1"/>
  <c r="J101" i="7"/>
  <c r="D102" i="7"/>
  <c r="J102" i="7" l="1"/>
  <c r="I102" i="7"/>
  <c r="L102" i="7" s="1"/>
  <c r="D103" i="7"/>
  <c r="I103" i="7" l="1"/>
  <c r="L103" i="7" s="1"/>
  <c r="J103" i="7"/>
  <c r="D104" i="7"/>
  <c r="J104" i="7" l="1"/>
  <c r="I104" i="7"/>
  <c r="L104" i="7" s="1"/>
  <c r="D105" i="7"/>
  <c r="I105" i="7" l="1"/>
  <c r="L105" i="7" s="1"/>
  <c r="D106" i="7"/>
  <c r="J105" i="7"/>
  <c r="D107" i="7" l="1"/>
  <c r="I106" i="7"/>
  <c r="L106" i="7" s="1"/>
  <c r="J106" i="7"/>
  <c r="I107" i="7" l="1"/>
  <c r="L107" i="7" s="1"/>
  <c r="D108" i="7"/>
  <c r="J107" i="7"/>
  <c r="J108" i="7" l="1"/>
  <c r="I108" i="7"/>
  <c r="L108" i="7" s="1"/>
  <c r="D109" i="7"/>
  <c r="I109" i="7" l="1"/>
  <c r="L109" i="7" s="1"/>
  <c r="D110" i="7"/>
  <c r="J109" i="7"/>
  <c r="D111" i="7" l="1"/>
  <c r="I110" i="7"/>
  <c r="L110" i="7" s="1"/>
  <c r="J110" i="7"/>
  <c r="I111" i="7" l="1"/>
  <c r="L111" i="7" s="1"/>
  <c r="D112" i="7"/>
  <c r="J111" i="7"/>
  <c r="J112" i="7" l="1"/>
  <c r="I112" i="7"/>
  <c r="L112" i="7" s="1"/>
  <c r="D113" i="7"/>
  <c r="I113" i="7" l="1"/>
  <c r="L113" i="7" s="1"/>
  <c r="D114" i="7"/>
  <c r="J113" i="7"/>
  <c r="J114" i="7" l="1"/>
  <c r="I114" i="7"/>
  <c r="L114" i="7" s="1"/>
  <c r="D115" i="7"/>
  <c r="I115" i="7" l="1"/>
  <c r="L115" i="7" s="1"/>
  <c r="J115" i="7"/>
  <c r="D116" i="7"/>
  <c r="J116" i="7" l="1"/>
  <c r="I116" i="7"/>
  <c r="L116" i="7" s="1"/>
  <c r="D117" i="7"/>
  <c r="I117" i="7" l="1"/>
  <c r="L117" i="7" s="1"/>
  <c r="D118" i="7"/>
  <c r="J117" i="7"/>
  <c r="J118" i="7" l="1"/>
  <c r="I118" i="7"/>
  <c r="L118" i="7" s="1"/>
  <c r="D119" i="7"/>
  <c r="I119" i="7" l="1"/>
  <c r="L119" i="7" s="1"/>
  <c r="D120" i="7"/>
  <c r="J119" i="7"/>
  <c r="J120" i="7" l="1"/>
  <c r="I120" i="7"/>
  <c r="L120" i="7" s="1"/>
  <c r="D121" i="7"/>
  <c r="I121" i="7" l="1"/>
  <c r="L121" i="7" s="1"/>
  <c r="J121" i="7"/>
  <c r="D122" i="7"/>
  <c r="J122" i="7" l="1"/>
  <c r="I122" i="7"/>
  <c r="L122" i="7" s="1"/>
  <c r="D123" i="7"/>
  <c r="I123" i="7" l="1"/>
  <c r="L123" i="7" s="1"/>
  <c r="D124" i="7"/>
  <c r="J123" i="7"/>
  <c r="J124" i="7" l="1"/>
  <c r="I124" i="7"/>
  <c r="L124" i="7" s="1"/>
  <c r="D125" i="7"/>
  <c r="I125" i="7" l="1"/>
  <c r="L125" i="7" s="1"/>
  <c r="D126" i="7"/>
  <c r="J125" i="7"/>
  <c r="J126" i="7" l="1"/>
  <c r="I126" i="7"/>
  <c r="L126" i="7" s="1"/>
  <c r="D127" i="7"/>
  <c r="I127" i="7" l="1"/>
  <c r="L127" i="7" s="1"/>
  <c r="D128" i="7"/>
  <c r="J127" i="7"/>
  <c r="D129" i="7" l="1"/>
  <c r="I128" i="7"/>
  <c r="L128" i="7" s="1"/>
  <c r="J128" i="7"/>
  <c r="I129" i="7" l="1"/>
  <c r="L129" i="7" s="1"/>
  <c r="D130" i="7"/>
  <c r="J129" i="7"/>
  <c r="I130" i="7" l="1"/>
  <c r="L130" i="7" s="1"/>
  <c r="M127" i="7" s="1"/>
  <c r="J130" i="7"/>
  <c r="K127" i="7" s="1"/>
  <c r="M128" i="7"/>
  <c r="M126" i="7" l="1"/>
  <c r="M123" i="7"/>
  <c r="M130" i="7"/>
  <c r="M11" i="7"/>
  <c r="M10" i="7"/>
  <c r="M13" i="7"/>
  <c r="M12" i="7"/>
  <c r="M14" i="7"/>
  <c r="M15" i="7"/>
  <c r="M17" i="7"/>
  <c r="M16" i="7"/>
  <c r="M18" i="7"/>
  <c r="M21" i="7"/>
  <c r="M19" i="7"/>
  <c r="M20" i="7"/>
  <c r="M24" i="7"/>
  <c r="M23" i="7"/>
  <c r="M25" i="7"/>
  <c r="M22" i="7"/>
  <c r="M27" i="7"/>
  <c r="M26" i="7"/>
  <c r="M28" i="7"/>
  <c r="M30" i="7"/>
  <c r="M29" i="7"/>
  <c r="M31" i="7"/>
  <c r="M32" i="7"/>
  <c r="M34" i="7"/>
  <c r="M33" i="7"/>
  <c r="M35" i="7"/>
  <c r="M38" i="7"/>
  <c r="M36" i="7"/>
  <c r="M37" i="7"/>
  <c r="M39" i="7"/>
  <c r="M40" i="7"/>
  <c r="M41" i="7"/>
  <c r="M42" i="7"/>
  <c r="M43" i="7"/>
  <c r="M45" i="7"/>
  <c r="M44" i="7"/>
  <c r="M46" i="7"/>
  <c r="M47" i="7"/>
  <c r="M48" i="7"/>
  <c r="M50" i="7"/>
  <c r="M49" i="7"/>
  <c r="M52" i="7"/>
  <c r="M51" i="7"/>
  <c r="M53" i="7"/>
  <c r="M56" i="7"/>
  <c r="M54" i="7"/>
  <c r="M55" i="7"/>
  <c r="M57" i="7"/>
  <c r="M58" i="7"/>
  <c r="M59" i="7"/>
  <c r="M60" i="7"/>
  <c r="M61" i="7"/>
  <c r="M62" i="7"/>
  <c r="M63" i="7"/>
  <c r="M65" i="7"/>
  <c r="M64" i="7"/>
  <c r="M67" i="7"/>
  <c r="M66" i="7"/>
  <c r="M70" i="7"/>
  <c r="M68" i="7"/>
  <c r="M72" i="7"/>
  <c r="M69" i="7"/>
  <c r="M74" i="7"/>
  <c r="M71" i="7"/>
  <c r="M76" i="7"/>
  <c r="M75" i="7"/>
  <c r="M73" i="7"/>
  <c r="M77" i="7"/>
  <c r="M78" i="7"/>
  <c r="M80" i="7"/>
  <c r="M79" i="7"/>
  <c r="M81" i="7"/>
  <c r="M82" i="7"/>
  <c r="M83" i="7"/>
  <c r="M86" i="7"/>
  <c r="M84" i="7"/>
  <c r="M85" i="7"/>
  <c r="M89" i="7"/>
  <c r="M87" i="7"/>
  <c r="M88" i="7"/>
  <c r="M90" i="7"/>
  <c r="M91" i="7"/>
  <c r="M92" i="7"/>
  <c r="M93" i="7"/>
  <c r="M94" i="7"/>
  <c r="M96" i="7"/>
  <c r="M95" i="7"/>
  <c r="M97" i="7"/>
  <c r="M99" i="7"/>
  <c r="M100" i="7"/>
  <c r="M98" i="7"/>
  <c r="M101" i="7"/>
  <c r="M105" i="7"/>
  <c r="M104" i="7"/>
  <c r="M102" i="7"/>
  <c r="M103" i="7"/>
  <c r="M106" i="7"/>
  <c r="M107" i="7"/>
  <c r="M108" i="7"/>
  <c r="M109" i="7"/>
  <c r="M113" i="7"/>
  <c r="M110" i="7"/>
  <c r="M112" i="7"/>
  <c r="M111" i="7"/>
  <c r="M114" i="7"/>
  <c r="M115" i="7"/>
  <c r="M117" i="7"/>
  <c r="M116" i="7"/>
  <c r="M119" i="7"/>
  <c r="M120" i="7"/>
  <c r="M118" i="7"/>
  <c r="K122" i="7"/>
  <c r="K130" i="7"/>
  <c r="K10" i="7"/>
  <c r="K11" i="7"/>
  <c r="K13" i="7"/>
  <c r="K12" i="7"/>
  <c r="K15" i="7"/>
  <c r="K14" i="7"/>
  <c r="K16" i="7"/>
  <c r="K18" i="7"/>
  <c r="K19" i="7"/>
  <c r="K17" i="7"/>
  <c r="K20" i="7"/>
  <c r="K22" i="7"/>
  <c r="K21" i="7"/>
  <c r="K23" i="7"/>
  <c r="K24" i="7"/>
  <c r="K26" i="7"/>
  <c r="K25" i="7"/>
  <c r="K27" i="7"/>
  <c r="K30" i="7"/>
  <c r="K29" i="7"/>
  <c r="K28" i="7"/>
  <c r="K33" i="7"/>
  <c r="K31" i="7"/>
  <c r="K32" i="7"/>
  <c r="K34" i="7"/>
  <c r="K36" i="7"/>
  <c r="K35" i="7"/>
  <c r="P29" i="7" s="1"/>
  <c r="K37" i="7"/>
  <c r="K40" i="7"/>
  <c r="K39" i="7"/>
  <c r="K38" i="7"/>
  <c r="K42" i="7"/>
  <c r="K41" i="7"/>
  <c r="K44" i="7"/>
  <c r="K45" i="7"/>
  <c r="K43" i="7"/>
  <c r="K47" i="7"/>
  <c r="K46" i="7"/>
  <c r="K48" i="7"/>
  <c r="K49" i="7"/>
  <c r="K51" i="7"/>
  <c r="K50" i="7"/>
  <c r="K52" i="7"/>
  <c r="K53" i="7"/>
  <c r="K54" i="7"/>
  <c r="K55" i="7"/>
  <c r="K59" i="7"/>
  <c r="K57" i="7"/>
  <c r="K56" i="7"/>
  <c r="K58" i="7"/>
  <c r="K60" i="7"/>
  <c r="K62" i="7"/>
  <c r="G52" i="26" s="1"/>
  <c r="K61" i="7"/>
  <c r="G51" i="26" s="1"/>
  <c r="K64" i="7"/>
  <c r="G54" i="26" s="1"/>
  <c r="K63" i="7"/>
  <c r="G53" i="26" s="1"/>
  <c r="K66" i="7"/>
  <c r="K65" i="7"/>
  <c r="G55" i="26" s="1"/>
  <c r="K68" i="7"/>
  <c r="K67" i="7"/>
  <c r="K69" i="7"/>
  <c r="K70" i="7"/>
  <c r="K71" i="7"/>
  <c r="K72" i="7"/>
  <c r="K73" i="7"/>
  <c r="K74" i="7"/>
  <c r="K75" i="7"/>
  <c r="K76" i="7"/>
  <c r="K77" i="7"/>
  <c r="K78" i="7"/>
  <c r="K81" i="7"/>
  <c r="K80" i="7"/>
  <c r="K79" i="7"/>
  <c r="K84" i="7"/>
  <c r="K83" i="7"/>
  <c r="K85" i="7"/>
  <c r="K82" i="7"/>
  <c r="K86" i="7"/>
  <c r="K87" i="7"/>
  <c r="K89" i="7"/>
  <c r="K88" i="7"/>
  <c r="K93" i="7"/>
  <c r="K91" i="7"/>
  <c r="K90" i="7"/>
  <c r="K92" i="7"/>
  <c r="K94" i="7"/>
  <c r="K96" i="7"/>
  <c r="K97" i="7"/>
  <c r="K95" i="7"/>
  <c r="K99" i="7"/>
  <c r="K98" i="7"/>
  <c r="K100" i="7"/>
  <c r="K101" i="7"/>
  <c r="K104" i="7"/>
  <c r="K105" i="7"/>
  <c r="K102" i="7"/>
  <c r="K103" i="7"/>
  <c r="K106" i="7"/>
  <c r="K109" i="7"/>
  <c r="K107" i="7"/>
  <c r="K108" i="7"/>
  <c r="K112" i="7"/>
  <c r="K110" i="7"/>
  <c r="K111" i="7"/>
  <c r="K113" i="7"/>
  <c r="K114" i="7"/>
  <c r="K115" i="7"/>
  <c r="K117" i="7"/>
  <c r="K116" i="7"/>
  <c r="K118" i="7"/>
  <c r="K120" i="7"/>
  <c r="K119" i="7"/>
  <c r="K123" i="7"/>
  <c r="K121" i="7"/>
  <c r="K126" i="7"/>
  <c r="K124" i="7"/>
  <c r="K128" i="7"/>
  <c r="M124" i="7"/>
  <c r="K125" i="7"/>
  <c r="M125" i="7"/>
  <c r="M121" i="7"/>
  <c r="M122" i="7"/>
  <c r="K129" i="7"/>
  <c r="M129" i="7"/>
  <c r="P31" i="7" l="1"/>
  <c r="G45" i="25"/>
  <c r="G45" i="13"/>
  <c r="G45" i="26"/>
  <c r="G36" i="25"/>
  <c r="G36" i="24"/>
  <c r="G36" i="13"/>
  <c r="B48" i="13" s="1"/>
  <c r="G36" i="26"/>
  <c r="G29" i="26"/>
  <c r="G29" i="23"/>
  <c r="G29" i="24"/>
  <c r="G29" i="25"/>
  <c r="G29" i="13"/>
  <c r="C73" i="20"/>
  <c r="D73" i="20" s="1"/>
  <c r="C73" i="8"/>
  <c r="D73" i="8" s="1"/>
  <c r="C73" i="16"/>
  <c r="D73" i="16" s="1"/>
  <c r="C73" i="21"/>
  <c r="D73" i="21" s="1"/>
  <c r="C73" i="17"/>
  <c r="D73" i="17" s="1"/>
  <c r="C68" i="20"/>
  <c r="D68" i="20" s="1"/>
  <c r="C68" i="8"/>
  <c r="D68" i="8" s="1"/>
  <c r="C68" i="16"/>
  <c r="D68" i="16" s="1"/>
  <c r="C68" i="21"/>
  <c r="D68" i="21" s="1"/>
  <c r="C68" i="17"/>
  <c r="D68" i="17" s="1"/>
  <c r="E55" i="26"/>
  <c r="C59" i="20"/>
  <c r="D59" i="20" s="1"/>
  <c r="C59" i="8"/>
  <c r="D59" i="8" s="1"/>
  <c r="C59" i="21"/>
  <c r="D59" i="21" s="1"/>
  <c r="C59" i="16"/>
  <c r="D59" i="16" s="1"/>
  <c r="C59" i="17"/>
  <c r="D59" i="17" s="1"/>
  <c r="P27" i="7"/>
  <c r="E45" i="25"/>
  <c r="E45" i="13"/>
  <c r="E45" i="26"/>
  <c r="C49" i="20"/>
  <c r="D49" i="20" s="1"/>
  <c r="C49" i="8"/>
  <c r="D49" i="8" s="1"/>
  <c r="C49" i="21"/>
  <c r="D49" i="21" s="1"/>
  <c r="C49" i="16"/>
  <c r="D49" i="16" s="1"/>
  <c r="C49" i="17"/>
  <c r="D49" i="17" s="1"/>
  <c r="E38" i="25"/>
  <c r="E38" i="24"/>
  <c r="E38" i="13"/>
  <c r="E38" i="26"/>
  <c r="C42" i="20"/>
  <c r="D42" i="20" s="1"/>
  <c r="C42" i="8"/>
  <c r="D42" i="8" s="1"/>
  <c r="C42" i="16"/>
  <c r="D42" i="16" s="1"/>
  <c r="C42" i="21"/>
  <c r="D42" i="21" s="1"/>
  <c r="C42" i="17"/>
  <c r="D42" i="17" s="1"/>
  <c r="E30" i="23"/>
  <c r="E30" i="24"/>
  <c r="E30" i="25"/>
  <c r="E30" i="26"/>
  <c r="E30" i="13"/>
  <c r="C34" i="20"/>
  <c r="D34" i="20" s="1"/>
  <c r="C34" i="8"/>
  <c r="D34" i="8" s="1"/>
  <c r="C34" i="16"/>
  <c r="D34" i="16" s="1"/>
  <c r="C34" i="21"/>
  <c r="D34" i="21" s="1"/>
  <c r="C34" i="17"/>
  <c r="D34" i="17" s="1"/>
  <c r="C26" i="20"/>
  <c r="D26" i="20" s="1"/>
  <c r="C26" i="8"/>
  <c r="D26" i="8" s="1"/>
  <c r="C26" i="16"/>
  <c r="D26" i="16" s="1"/>
  <c r="C26" i="21"/>
  <c r="D26" i="21" s="1"/>
  <c r="C26" i="17"/>
  <c r="D26" i="17" s="1"/>
  <c r="C19" i="8"/>
  <c r="D19" i="8" s="1"/>
  <c r="C19" i="17"/>
  <c r="D19" i="17" s="1"/>
  <c r="C19" i="16"/>
  <c r="D19" i="16" s="1"/>
  <c r="C19" i="21"/>
  <c r="D19" i="21" s="1"/>
  <c r="C19" i="20"/>
  <c r="D19" i="20" s="1"/>
  <c r="G44" i="25"/>
  <c r="G44" i="13"/>
  <c r="G44" i="26"/>
  <c r="G37" i="25"/>
  <c r="G37" i="24"/>
  <c r="G37" i="13"/>
  <c r="G37" i="26"/>
  <c r="G30" i="24"/>
  <c r="G30" i="23"/>
  <c r="G30" i="25"/>
  <c r="G30" i="26"/>
  <c r="G30" i="13"/>
  <c r="C74" i="20"/>
  <c r="D74" i="20" s="1"/>
  <c r="C74" i="8"/>
  <c r="D74" i="8" s="1"/>
  <c r="C74" i="21"/>
  <c r="D74" i="21" s="1"/>
  <c r="C74" i="16"/>
  <c r="D74" i="16" s="1"/>
  <c r="C74" i="17"/>
  <c r="D74" i="17" s="1"/>
  <c r="C63" i="20"/>
  <c r="D63" i="20" s="1"/>
  <c r="C63" i="8"/>
  <c r="D63" i="8" s="1"/>
  <c r="C63" i="21"/>
  <c r="D63" i="21" s="1"/>
  <c r="C63" i="16"/>
  <c r="D63" i="16" s="1"/>
  <c r="C63" i="17"/>
  <c r="D63" i="17" s="1"/>
  <c r="E53" i="26"/>
  <c r="C57" i="20"/>
  <c r="D57" i="20" s="1"/>
  <c r="C57" i="8"/>
  <c r="D57" i="8" s="1"/>
  <c r="C57" i="16"/>
  <c r="D57" i="16" s="1"/>
  <c r="C57" i="21"/>
  <c r="D57" i="21" s="1"/>
  <c r="C57" i="17"/>
  <c r="D57" i="17" s="1"/>
  <c r="E44" i="25"/>
  <c r="E44" i="26"/>
  <c r="E44" i="13"/>
  <c r="C48" i="20"/>
  <c r="D48" i="20" s="1"/>
  <c r="C48" i="8"/>
  <c r="D48" i="8" s="1"/>
  <c r="C48" i="21"/>
  <c r="D48" i="21" s="1"/>
  <c r="C48" i="16"/>
  <c r="D48" i="16" s="1"/>
  <c r="C48" i="17"/>
  <c r="D48" i="17" s="1"/>
  <c r="E37" i="25"/>
  <c r="E37" i="24"/>
  <c r="E37" i="13"/>
  <c r="E37" i="26"/>
  <c r="C41" i="20"/>
  <c r="D41" i="20" s="1"/>
  <c r="C41" i="8"/>
  <c r="D41" i="8" s="1"/>
  <c r="C41" i="21"/>
  <c r="D41" i="21" s="1"/>
  <c r="C41" i="16"/>
  <c r="D41" i="16" s="1"/>
  <c r="C41" i="17"/>
  <c r="D41" i="17" s="1"/>
  <c r="E29" i="23"/>
  <c r="E29" i="25"/>
  <c r="E29" i="24"/>
  <c r="E29" i="26"/>
  <c r="E29" i="13"/>
  <c r="C33" i="20"/>
  <c r="D33" i="20" s="1"/>
  <c r="C33" i="8"/>
  <c r="D33" i="8" s="1"/>
  <c r="C33" i="16"/>
  <c r="D33" i="16" s="1"/>
  <c r="C33" i="21"/>
  <c r="D33" i="21" s="1"/>
  <c r="C33" i="17"/>
  <c r="D33" i="17" s="1"/>
  <c r="C25" i="8"/>
  <c r="D25" i="8" s="1"/>
  <c r="C25" i="20"/>
  <c r="D25" i="20" s="1"/>
  <c r="C25" i="21"/>
  <c r="D25" i="21" s="1"/>
  <c r="C25" i="16"/>
  <c r="D25" i="16" s="1"/>
  <c r="C25" i="17"/>
  <c r="D25" i="17" s="1"/>
  <c r="C17" i="21"/>
  <c r="D17" i="21" s="1"/>
  <c r="C17" i="8"/>
  <c r="D17" i="8" s="1"/>
  <c r="C17" i="16"/>
  <c r="D17" i="16" s="1"/>
  <c r="C17" i="20"/>
  <c r="D17" i="20" s="1"/>
  <c r="C17" i="17"/>
  <c r="D17" i="17" s="1"/>
  <c r="G43" i="25"/>
  <c r="G43" i="13"/>
  <c r="G43" i="26"/>
  <c r="G33" i="24"/>
  <c r="G33" i="25"/>
  <c r="G33" i="23"/>
  <c r="G33" i="26"/>
  <c r="G33" i="13"/>
  <c r="P30" i="7"/>
  <c r="G27" i="23"/>
  <c r="G27" i="13"/>
  <c r="G27" i="24"/>
  <c r="G27" i="26"/>
  <c r="G27" i="25"/>
  <c r="C72" i="20"/>
  <c r="D72" i="20" s="1"/>
  <c r="C72" i="8"/>
  <c r="D72" i="8" s="1"/>
  <c r="C72" i="16"/>
  <c r="D72" i="16" s="1"/>
  <c r="C72" i="21"/>
  <c r="D72" i="21" s="1"/>
  <c r="C72" i="17"/>
  <c r="D72" i="17" s="1"/>
  <c r="C66" i="20"/>
  <c r="D66" i="20" s="1"/>
  <c r="C66" i="8"/>
  <c r="D66" i="8" s="1"/>
  <c r="C66" i="21"/>
  <c r="D66" i="21" s="1"/>
  <c r="C66" i="16"/>
  <c r="D66" i="16" s="1"/>
  <c r="C66" i="17"/>
  <c r="D66" i="17" s="1"/>
  <c r="E52" i="26"/>
  <c r="C56" i="20"/>
  <c r="D56" i="20" s="1"/>
  <c r="C56" i="8"/>
  <c r="D56" i="8" s="1"/>
  <c r="C56" i="16"/>
  <c r="D56" i="16" s="1"/>
  <c r="C56" i="21"/>
  <c r="D56" i="21" s="1"/>
  <c r="C56" i="17"/>
  <c r="D56" i="17" s="1"/>
  <c r="E46" i="25"/>
  <c r="E46" i="26"/>
  <c r="C50" i="20"/>
  <c r="D50" i="20" s="1"/>
  <c r="C50" i="8"/>
  <c r="D50" i="8" s="1"/>
  <c r="C50" i="16"/>
  <c r="D50" i="16" s="1"/>
  <c r="C50" i="21"/>
  <c r="D50" i="21" s="1"/>
  <c r="C50" i="17"/>
  <c r="D50" i="17" s="1"/>
  <c r="E36" i="25"/>
  <c r="E36" i="24"/>
  <c r="E36" i="26"/>
  <c r="E36" i="13"/>
  <c r="C40" i="20"/>
  <c r="D40" i="20" s="1"/>
  <c r="C40" i="8"/>
  <c r="D40" i="8" s="1"/>
  <c r="C40" i="16"/>
  <c r="D40" i="16" s="1"/>
  <c r="C40" i="21"/>
  <c r="D40" i="21" s="1"/>
  <c r="C40" i="17"/>
  <c r="D40" i="17" s="1"/>
  <c r="P26" i="7"/>
  <c r="P39" i="7" s="1"/>
  <c r="E27" i="25"/>
  <c r="E27" i="23"/>
  <c r="E27" i="24"/>
  <c r="E27" i="26"/>
  <c r="E27" i="13"/>
  <c r="C31" i="20"/>
  <c r="C31" i="8"/>
  <c r="D31" i="8" s="1"/>
  <c r="C31" i="16"/>
  <c r="D31" i="16" s="1"/>
  <c r="C31" i="21"/>
  <c r="D31" i="21" s="1"/>
  <c r="C31" i="17"/>
  <c r="D31" i="17" s="1"/>
  <c r="C23" i="21"/>
  <c r="D23" i="21" s="1"/>
  <c r="C23" i="17"/>
  <c r="D23" i="17" s="1"/>
  <c r="C23" i="20"/>
  <c r="D23" i="20" s="1"/>
  <c r="C23" i="16"/>
  <c r="D23" i="16" s="1"/>
  <c r="C23" i="8"/>
  <c r="D23" i="8" s="1"/>
  <c r="C18" i="20"/>
  <c r="D18" i="20" s="1"/>
  <c r="C18" i="21"/>
  <c r="D18" i="21" s="1"/>
  <c r="C18" i="16"/>
  <c r="D18" i="16" s="1"/>
  <c r="C18" i="17"/>
  <c r="D18" i="17" s="1"/>
  <c r="C18" i="8"/>
  <c r="D18" i="8" s="1"/>
  <c r="G50" i="25"/>
  <c r="G50" i="26"/>
  <c r="G42" i="25"/>
  <c r="G42" i="13"/>
  <c r="G42" i="26"/>
  <c r="G35" i="25"/>
  <c r="G35" i="24"/>
  <c r="G35" i="23"/>
  <c r="G35" i="13"/>
  <c r="G35" i="26"/>
  <c r="C71" i="20"/>
  <c r="D71" i="20" s="1"/>
  <c r="C71" i="8"/>
  <c r="D71" i="8" s="1"/>
  <c r="C71" i="16"/>
  <c r="D71" i="16" s="1"/>
  <c r="C71" i="21"/>
  <c r="D71" i="21" s="1"/>
  <c r="C71" i="17"/>
  <c r="D71" i="17" s="1"/>
  <c r="C62" i="20"/>
  <c r="D62" i="20" s="1"/>
  <c r="C62" i="8"/>
  <c r="D62" i="8" s="1"/>
  <c r="C62" i="16"/>
  <c r="D62" i="16" s="1"/>
  <c r="C62" i="21"/>
  <c r="D62" i="21" s="1"/>
  <c r="C62" i="17"/>
  <c r="D62" i="17" s="1"/>
  <c r="E51" i="26"/>
  <c r="C55" i="20"/>
  <c r="D55" i="20" s="1"/>
  <c r="C55" i="8"/>
  <c r="D55" i="8" s="1"/>
  <c r="C55" i="21"/>
  <c r="D55" i="21" s="1"/>
  <c r="C55" i="16"/>
  <c r="D55" i="16" s="1"/>
  <c r="C55" i="17"/>
  <c r="D55" i="17" s="1"/>
  <c r="E43" i="25"/>
  <c r="E43" i="13"/>
  <c r="E43" i="26"/>
  <c r="C47" i="20"/>
  <c r="D47" i="20" s="1"/>
  <c r="C47" i="8"/>
  <c r="D47" i="8" s="1"/>
  <c r="C47" i="21"/>
  <c r="D47" i="21" s="1"/>
  <c r="C47" i="16"/>
  <c r="D47" i="16" s="1"/>
  <c r="C47" i="17"/>
  <c r="D47" i="17" s="1"/>
  <c r="E34" i="25"/>
  <c r="E34" i="24"/>
  <c r="E34" i="23"/>
  <c r="E34" i="13"/>
  <c r="E34" i="26"/>
  <c r="C38" i="20"/>
  <c r="D38" i="20" s="1"/>
  <c r="C38" i="8"/>
  <c r="D38" i="8" s="1"/>
  <c r="C38" i="16"/>
  <c r="D38" i="16" s="1"/>
  <c r="C38" i="21"/>
  <c r="D38" i="21" s="1"/>
  <c r="C38" i="17"/>
  <c r="D38" i="17" s="1"/>
  <c r="E26" i="24"/>
  <c r="E26" i="23"/>
  <c r="E26" i="25"/>
  <c r="E26" i="13"/>
  <c r="E26" i="26"/>
  <c r="C30" i="20"/>
  <c r="D30" i="20" s="1"/>
  <c r="C30" i="8"/>
  <c r="D30" i="8" s="1"/>
  <c r="C30" i="21"/>
  <c r="D30" i="21" s="1"/>
  <c r="C30" i="16"/>
  <c r="D30" i="16" s="1"/>
  <c r="C30" i="17"/>
  <c r="D30" i="17" s="1"/>
  <c r="K26" i="23"/>
  <c r="K26" i="24"/>
  <c r="K26" i="13"/>
  <c r="K26" i="25"/>
  <c r="K26" i="26"/>
  <c r="C24" i="20"/>
  <c r="D24" i="20" s="1"/>
  <c r="C24" i="16"/>
  <c r="D24" i="16" s="1"/>
  <c r="C24" i="21"/>
  <c r="D24" i="21" s="1"/>
  <c r="C24" i="8"/>
  <c r="D24" i="8" s="1"/>
  <c r="C24" i="17"/>
  <c r="D24" i="17" s="1"/>
  <c r="G48" i="25"/>
  <c r="G48" i="26"/>
  <c r="G40" i="25"/>
  <c r="G40" i="24"/>
  <c r="G40" i="26"/>
  <c r="G40" i="13"/>
  <c r="G34" i="25"/>
  <c r="G34" i="24"/>
  <c r="G34" i="23"/>
  <c r="G34" i="13"/>
  <c r="G34" i="26"/>
  <c r="G26" i="26"/>
  <c r="G26" i="25"/>
  <c r="G26" i="23"/>
  <c r="G26" i="13"/>
  <c r="G26" i="24"/>
  <c r="C67" i="20"/>
  <c r="D67" i="20" s="1"/>
  <c r="C67" i="8"/>
  <c r="D67" i="8" s="1"/>
  <c r="C67" i="21"/>
  <c r="D67" i="21" s="1"/>
  <c r="C67" i="16"/>
  <c r="D67" i="16" s="1"/>
  <c r="C67" i="17"/>
  <c r="D67" i="17" s="1"/>
  <c r="C64" i="20"/>
  <c r="D64" i="20" s="1"/>
  <c r="C64" i="8"/>
  <c r="D64" i="8" s="1"/>
  <c r="C64" i="21"/>
  <c r="D64" i="21" s="1"/>
  <c r="C64" i="16"/>
  <c r="D64" i="16" s="1"/>
  <c r="C64" i="17"/>
  <c r="D64" i="17" s="1"/>
  <c r="E50" i="25"/>
  <c r="E50" i="26"/>
  <c r="C54" i="20"/>
  <c r="D54" i="20" s="1"/>
  <c r="C54" i="8"/>
  <c r="D54" i="8" s="1"/>
  <c r="C54" i="16"/>
  <c r="D54" i="16" s="1"/>
  <c r="C54" i="21"/>
  <c r="D54" i="21" s="1"/>
  <c r="C54" i="17"/>
  <c r="D54" i="17" s="1"/>
  <c r="E41" i="25"/>
  <c r="E41" i="13"/>
  <c r="E41" i="26"/>
  <c r="C45" i="20"/>
  <c r="D45" i="20" s="1"/>
  <c r="C45" i="8"/>
  <c r="D45" i="8" s="1"/>
  <c r="C45" i="21"/>
  <c r="D45" i="21" s="1"/>
  <c r="C45" i="16"/>
  <c r="D45" i="16" s="1"/>
  <c r="C45" i="17"/>
  <c r="D45" i="17" s="1"/>
  <c r="E35" i="25"/>
  <c r="E35" i="24"/>
  <c r="E35" i="23"/>
  <c r="E35" i="13"/>
  <c r="E35" i="26"/>
  <c r="C39" i="20"/>
  <c r="D39" i="20" s="1"/>
  <c r="C39" i="8"/>
  <c r="D39" i="8" s="1"/>
  <c r="C39" i="21"/>
  <c r="D39" i="21" s="1"/>
  <c r="C39" i="16"/>
  <c r="D39" i="16" s="1"/>
  <c r="C39" i="17"/>
  <c r="D39" i="17" s="1"/>
  <c r="E28" i="24"/>
  <c r="E28" i="25"/>
  <c r="E28" i="23"/>
  <c r="E28" i="13"/>
  <c r="E28" i="26"/>
  <c r="C32" i="20"/>
  <c r="D32" i="20" s="1"/>
  <c r="C32" i="8"/>
  <c r="D32" i="8" s="1"/>
  <c r="C32" i="16"/>
  <c r="D32" i="16" s="1"/>
  <c r="C32" i="21"/>
  <c r="D32" i="21" s="1"/>
  <c r="C32" i="17"/>
  <c r="D32" i="17" s="1"/>
  <c r="C22" i="17"/>
  <c r="D22" i="17" s="1"/>
  <c r="C22" i="21"/>
  <c r="D22" i="21" s="1"/>
  <c r="C22" i="20"/>
  <c r="D22" i="20" s="1"/>
  <c r="C22" i="16"/>
  <c r="D22" i="16" s="1"/>
  <c r="C22" i="8"/>
  <c r="D22" i="8" s="1"/>
  <c r="G46" i="25"/>
  <c r="G46" i="26"/>
  <c r="G41" i="25"/>
  <c r="G41" i="26"/>
  <c r="G41" i="13"/>
  <c r="G31" i="23"/>
  <c r="G31" i="24"/>
  <c r="G31" i="25"/>
  <c r="G31" i="13"/>
  <c r="G31" i="26"/>
  <c r="C69" i="20"/>
  <c r="D69" i="20" s="1"/>
  <c r="C69" i="8"/>
  <c r="D69" i="8" s="1"/>
  <c r="C69" i="21"/>
  <c r="D69" i="21" s="1"/>
  <c r="C69" i="16"/>
  <c r="D69" i="16" s="1"/>
  <c r="C69" i="17"/>
  <c r="D69" i="17" s="1"/>
  <c r="C60" i="20"/>
  <c r="D60" i="20" s="1"/>
  <c r="C60" i="8"/>
  <c r="D60" i="8" s="1"/>
  <c r="C60" i="21"/>
  <c r="D60" i="21" s="1"/>
  <c r="C60" i="16"/>
  <c r="D60" i="16" s="1"/>
  <c r="C60" i="17"/>
  <c r="D60" i="17" s="1"/>
  <c r="E49" i="25"/>
  <c r="E49" i="26"/>
  <c r="C53" i="20"/>
  <c r="D53" i="20" s="1"/>
  <c r="C53" i="8"/>
  <c r="D53" i="8" s="1"/>
  <c r="C53" i="21"/>
  <c r="D53" i="21" s="1"/>
  <c r="C53" i="16"/>
  <c r="D53" i="16" s="1"/>
  <c r="C53" i="17"/>
  <c r="D53" i="17" s="1"/>
  <c r="E42" i="25"/>
  <c r="E42" i="13"/>
  <c r="E42" i="26"/>
  <c r="C46" i="20"/>
  <c r="D46" i="20" s="1"/>
  <c r="C46" i="8"/>
  <c r="D46" i="8" s="1"/>
  <c r="C46" i="21"/>
  <c r="D46" i="21" s="1"/>
  <c r="C46" i="16"/>
  <c r="D46" i="16" s="1"/>
  <c r="C46" i="17"/>
  <c r="D46" i="17" s="1"/>
  <c r="E33" i="24"/>
  <c r="E33" i="25"/>
  <c r="E33" i="23"/>
  <c r="H33" i="23" s="1"/>
  <c r="J33" i="23" s="1"/>
  <c r="K33" i="23" s="1"/>
  <c r="E33" i="26"/>
  <c r="E33" i="13"/>
  <c r="C37" i="20"/>
  <c r="D37" i="20" s="1"/>
  <c r="C37" i="8"/>
  <c r="D37" i="8" s="1"/>
  <c r="C37" i="21"/>
  <c r="D37" i="21" s="1"/>
  <c r="C37" i="16"/>
  <c r="D37" i="16" s="1"/>
  <c r="C37" i="17"/>
  <c r="D37" i="17" s="1"/>
  <c r="P25" i="7"/>
  <c r="P37" i="7" s="1"/>
  <c r="P40" i="7" s="1"/>
  <c r="F26" i="23"/>
  <c r="F27" i="23" s="1"/>
  <c r="F28" i="23" s="1"/>
  <c r="F29" i="23" s="1"/>
  <c r="F30" i="23" s="1"/>
  <c r="F31" i="23" s="1"/>
  <c r="F32" i="23" s="1"/>
  <c r="F33" i="23" s="1"/>
  <c r="F34" i="23" s="1"/>
  <c r="F35" i="23" s="1"/>
  <c r="C29" i="20"/>
  <c r="D29" i="20" s="1"/>
  <c r="F26" i="13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26" i="24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38" i="24" s="1"/>
  <c r="F39" i="24" s="1"/>
  <c r="F40" i="24" s="1"/>
  <c r="F26" i="25"/>
  <c r="F27" i="25" s="1"/>
  <c r="F28" i="25" s="1"/>
  <c r="F29" i="25" s="1"/>
  <c r="F30" i="25" s="1"/>
  <c r="F31" i="25" s="1"/>
  <c r="F32" i="25" s="1"/>
  <c r="F33" i="25" s="1"/>
  <c r="F34" i="25" s="1"/>
  <c r="F35" i="25" s="1"/>
  <c r="F36" i="25" s="1"/>
  <c r="F37" i="25" s="1"/>
  <c r="F38" i="25" s="1"/>
  <c r="F39" i="25" s="1"/>
  <c r="F40" i="25" s="1"/>
  <c r="F41" i="25" s="1"/>
  <c r="F42" i="25" s="1"/>
  <c r="F43" i="25" s="1"/>
  <c r="F44" i="25" s="1"/>
  <c r="F45" i="25" s="1"/>
  <c r="F46" i="25" s="1"/>
  <c r="F47" i="25" s="1"/>
  <c r="F48" i="25" s="1"/>
  <c r="F49" i="25" s="1"/>
  <c r="F50" i="25" s="1"/>
  <c r="F26" i="26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F38" i="26" s="1"/>
  <c r="F39" i="26" s="1"/>
  <c r="F40" i="26" s="1"/>
  <c r="F41" i="26" s="1"/>
  <c r="F42" i="26" s="1"/>
  <c r="F43" i="26" s="1"/>
  <c r="F44" i="26" s="1"/>
  <c r="F45" i="26" s="1"/>
  <c r="F46" i="26" s="1"/>
  <c r="F47" i="26" s="1"/>
  <c r="F48" i="26" s="1"/>
  <c r="F49" i="26" s="1"/>
  <c r="F50" i="26" s="1"/>
  <c r="F51" i="26" s="1"/>
  <c r="F52" i="26" s="1"/>
  <c r="F53" i="26" s="1"/>
  <c r="F54" i="26" s="1"/>
  <c r="F55" i="26" s="1"/>
  <c r="C29" i="8"/>
  <c r="D29" i="8" s="1"/>
  <c r="C29" i="16"/>
  <c r="D29" i="16" s="1"/>
  <c r="C29" i="21"/>
  <c r="D29" i="21" s="1"/>
  <c r="C29" i="17"/>
  <c r="D29" i="17" s="1"/>
  <c r="C20" i="20"/>
  <c r="D20" i="20" s="1"/>
  <c r="C20" i="21"/>
  <c r="D20" i="21" s="1"/>
  <c r="C20" i="17"/>
  <c r="D20" i="17" s="1"/>
  <c r="C20" i="8"/>
  <c r="D20" i="8" s="1"/>
  <c r="C20" i="16"/>
  <c r="D20" i="16" s="1"/>
  <c r="G47" i="25"/>
  <c r="G47" i="26"/>
  <c r="G39" i="25"/>
  <c r="G39" i="24"/>
  <c r="G39" i="26"/>
  <c r="G39" i="13"/>
  <c r="G32" i="24"/>
  <c r="G32" i="23"/>
  <c r="G32" i="25"/>
  <c r="G32" i="13"/>
  <c r="G32" i="26"/>
  <c r="C70" i="20"/>
  <c r="D70" i="20" s="1"/>
  <c r="C70" i="8"/>
  <c r="D70" i="8" s="1"/>
  <c r="C70" i="21"/>
  <c r="D70" i="21" s="1"/>
  <c r="C70" i="16"/>
  <c r="D70" i="16" s="1"/>
  <c r="C70" i="17"/>
  <c r="D70" i="17" s="1"/>
  <c r="C61" i="20"/>
  <c r="D61" i="20" s="1"/>
  <c r="C61" i="8"/>
  <c r="D61" i="8" s="1"/>
  <c r="C61" i="21"/>
  <c r="D61" i="21" s="1"/>
  <c r="C61" i="16"/>
  <c r="D61" i="16" s="1"/>
  <c r="C61" i="17"/>
  <c r="D61" i="17" s="1"/>
  <c r="E48" i="25"/>
  <c r="H48" i="25" s="1"/>
  <c r="J48" i="25" s="1"/>
  <c r="K48" i="25" s="1"/>
  <c r="E48" i="26"/>
  <c r="H48" i="26" s="1"/>
  <c r="J48" i="26" s="1"/>
  <c r="K48" i="26" s="1"/>
  <c r="C52" i="20"/>
  <c r="D52" i="20" s="1"/>
  <c r="C52" i="8"/>
  <c r="D52" i="8" s="1"/>
  <c r="C52" i="21"/>
  <c r="D52" i="21" s="1"/>
  <c r="C52" i="16"/>
  <c r="D52" i="16" s="1"/>
  <c r="C52" i="17"/>
  <c r="D52" i="17" s="1"/>
  <c r="E39" i="25"/>
  <c r="E39" i="24"/>
  <c r="H39" i="24" s="1"/>
  <c r="J39" i="24" s="1"/>
  <c r="K39" i="24" s="1"/>
  <c r="E39" i="26"/>
  <c r="H39" i="26" s="1"/>
  <c r="J39" i="26" s="1"/>
  <c r="K39" i="26" s="1"/>
  <c r="E39" i="13"/>
  <c r="C43" i="20"/>
  <c r="D43" i="20" s="1"/>
  <c r="C43" i="8"/>
  <c r="D43" i="8" s="1"/>
  <c r="C43" i="21"/>
  <c r="D43" i="21" s="1"/>
  <c r="C43" i="16"/>
  <c r="D43" i="16" s="1"/>
  <c r="C43" i="17"/>
  <c r="D43" i="17" s="1"/>
  <c r="E32" i="24"/>
  <c r="E32" i="23"/>
  <c r="H32" i="23" s="1"/>
  <c r="J32" i="23" s="1"/>
  <c r="K32" i="23" s="1"/>
  <c r="E32" i="25"/>
  <c r="E32" i="13"/>
  <c r="H32" i="13" s="1"/>
  <c r="J32" i="13" s="1"/>
  <c r="K32" i="13" s="1"/>
  <c r="E32" i="26"/>
  <c r="H32" i="26" s="1"/>
  <c r="J32" i="26" s="1"/>
  <c r="K32" i="26" s="1"/>
  <c r="C36" i="20"/>
  <c r="D36" i="20" s="1"/>
  <c r="C36" i="8"/>
  <c r="D36" i="8" s="1"/>
  <c r="C36" i="16"/>
  <c r="D36" i="16" s="1"/>
  <c r="C36" i="21"/>
  <c r="D36" i="21" s="1"/>
  <c r="C36" i="17"/>
  <c r="D36" i="17" s="1"/>
  <c r="C27" i="8"/>
  <c r="D27" i="8" s="1"/>
  <c r="C27" i="20"/>
  <c r="D27" i="20" s="1"/>
  <c r="C27" i="16"/>
  <c r="D27" i="16" s="1"/>
  <c r="C27" i="21"/>
  <c r="D27" i="21" s="1"/>
  <c r="C27" i="17"/>
  <c r="D27" i="17" s="1"/>
  <c r="C21" i="20"/>
  <c r="D21" i="20" s="1"/>
  <c r="C21" i="21"/>
  <c r="D21" i="21" s="1"/>
  <c r="C21" i="8"/>
  <c r="D21" i="8" s="1"/>
  <c r="C21" i="17"/>
  <c r="D21" i="17" s="1"/>
  <c r="C21" i="16"/>
  <c r="D21" i="16" s="1"/>
  <c r="G49" i="25"/>
  <c r="G49" i="26"/>
  <c r="G38" i="25"/>
  <c r="G38" i="24"/>
  <c r="G38" i="13"/>
  <c r="G38" i="26"/>
  <c r="G28" i="24"/>
  <c r="G28" i="26"/>
  <c r="G28" i="23"/>
  <c r="G28" i="13"/>
  <c r="G28" i="25"/>
  <c r="C65" i="20"/>
  <c r="D65" i="20" s="1"/>
  <c r="C65" i="8"/>
  <c r="D65" i="8" s="1"/>
  <c r="C65" i="16"/>
  <c r="D65" i="16" s="1"/>
  <c r="C65" i="21"/>
  <c r="D65" i="21" s="1"/>
  <c r="C65" i="17"/>
  <c r="D65" i="17" s="1"/>
  <c r="E54" i="26"/>
  <c r="H54" i="26" s="1"/>
  <c r="J54" i="26" s="1"/>
  <c r="K54" i="26" s="1"/>
  <c r="C58" i="20"/>
  <c r="D58" i="20" s="1"/>
  <c r="C58" i="8"/>
  <c r="D58" i="8" s="1"/>
  <c r="C58" i="21"/>
  <c r="D58" i="21" s="1"/>
  <c r="C58" i="16"/>
  <c r="D58" i="16" s="1"/>
  <c r="C58" i="17"/>
  <c r="D58" i="17" s="1"/>
  <c r="E47" i="25"/>
  <c r="E47" i="26"/>
  <c r="H47" i="26" s="1"/>
  <c r="J47" i="26" s="1"/>
  <c r="K47" i="26" s="1"/>
  <c r="C51" i="20"/>
  <c r="D51" i="20" s="1"/>
  <c r="C51" i="8"/>
  <c r="D51" i="8" s="1"/>
  <c r="C51" i="21"/>
  <c r="D51" i="21" s="1"/>
  <c r="C51" i="16"/>
  <c r="D51" i="16" s="1"/>
  <c r="C51" i="17"/>
  <c r="D51" i="17" s="1"/>
  <c r="E40" i="25"/>
  <c r="H40" i="25" s="1"/>
  <c r="J40" i="25" s="1"/>
  <c r="K40" i="25" s="1"/>
  <c r="E40" i="24"/>
  <c r="H40" i="24" s="1"/>
  <c r="J40" i="24" s="1"/>
  <c r="K40" i="24" s="1"/>
  <c r="E40" i="26"/>
  <c r="H40" i="26" s="1"/>
  <c r="J40" i="26" s="1"/>
  <c r="K40" i="26" s="1"/>
  <c r="E40" i="13"/>
  <c r="H40" i="13" s="1"/>
  <c r="J40" i="13" s="1"/>
  <c r="K40" i="13" s="1"/>
  <c r="C44" i="20"/>
  <c r="D44" i="20" s="1"/>
  <c r="C44" i="8"/>
  <c r="D44" i="8" s="1"/>
  <c r="C44" i="16"/>
  <c r="D44" i="16" s="1"/>
  <c r="C44" i="21"/>
  <c r="D44" i="21" s="1"/>
  <c r="C44" i="17"/>
  <c r="D44" i="17" s="1"/>
  <c r="E31" i="23"/>
  <c r="E31" i="24"/>
  <c r="H31" i="24" s="1"/>
  <c r="J31" i="24" s="1"/>
  <c r="K31" i="24" s="1"/>
  <c r="E31" i="25"/>
  <c r="H31" i="25" s="1"/>
  <c r="J31" i="25" s="1"/>
  <c r="K31" i="25" s="1"/>
  <c r="E31" i="26"/>
  <c r="H31" i="26" s="1"/>
  <c r="J31" i="26" s="1"/>
  <c r="K31" i="26" s="1"/>
  <c r="E31" i="13"/>
  <c r="H31" i="13" s="1"/>
  <c r="J31" i="13" s="1"/>
  <c r="K31" i="13" s="1"/>
  <c r="C35" i="20"/>
  <c r="D35" i="20" s="1"/>
  <c r="C35" i="8"/>
  <c r="D35" i="8" s="1"/>
  <c r="C35" i="21"/>
  <c r="D35" i="21" s="1"/>
  <c r="C35" i="16"/>
  <c r="D35" i="16" s="1"/>
  <c r="C35" i="17"/>
  <c r="D35" i="17" s="1"/>
  <c r="C28" i="20"/>
  <c r="D28" i="20" s="1"/>
  <c r="C28" i="8"/>
  <c r="D28" i="8" s="1"/>
  <c r="C28" i="16"/>
  <c r="D28" i="16" s="1"/>
  <c r="C28" i="21"/>
  <c r="D28" i="21" s="1"/>
  <c r="C28" i="17"/>
  <c r="D28" i="17" s="1"/>
  <c r="C16" i="20"/>
  <c r="D16" i="20" s="1"/>
  <c r="C16" i="21"/>
  <c r="D16" i="21" s="1"/>
  <c r="C16" i="8"/>
  <c r="D16" i="8" s="1"/>
  <c r="C16" i="16"/>
  <c r="D16" i="16" s="1"/>
  <c r="C16" i="17"/>
  <c r="D16" i="17" s="1"/>
  <c r="H31" i="23" l="1"/>
  <c r="J31" i="23" s="1"/>
  <c r="K31" i="23" s="1"/>
  <c r="H47" i="25"/>
  <c r="J47" i="25" s="1"/>
  <c r="K47" i="25" s="1"/>
  <c r="H32" i="25"/>
  <c r="J32" i="25" s="1"/>
  <c r="K32" i="25" s="1"/>
  <c r="H39" i="13"/>
  <c r="J39" i="13" s="1"/>
  <c r="K39" i="13" s="1"/>
  <c r="H32" i="24"/>
  <c r="J32" i="24" s="1"/>
  <c r="K32" i="24" s="1"/>
  <c r="H39" i="25"/>
  <c r="J39" i="25" s="1"/>
  <c r="K39" i="25" s="1"/>
  <c r="G35" i="16"/>
  <c r="K35" i="16" s="1"/>
  <c r="E35" i="16"/>
  <c r="I35" i="16" s="1"/>
  <c r="F35" i="16"/>
  <c r="J35" i="16" s="1"/>
  <c r="H35" i="16"/>
  <c r="L35" i="16" s="1"/>
  <c r="E16" i="16"/>
  <c r="I16" i="16" s="1"/>
  <c r="G16" i="16"/>
  <c r="K16" i="16" s="1"/>
  <c r="H16" i="16"/>
  <c r="L16" i="16" s="1"/>
  <c r="F16" i="16"/>
  <c r="J16" i="16" s="1"/>
  <c r="E28" i="20"/>
  <c r="I28" i="20" s="1"/>
  <c r="G28" i="20"/>
  <c r="K28" i="20" s="1"/>
  <c r="F28" i="20"/>
  <c r="J28" i="20" s="1"/>
  <c r="H28" i="20"/>
  <c r="L28" i="20" s="1"/>
  <c r="F51" i="20"/>
  <c r="J51" i="20" s="1"/>
  <c r="G51" i="20"/>
  <c r="K51" i="20" s="1"/>
  <c r="E51" i="20"/>
  <c r="I51" i="20" s="1"/>
  <c r="H51" i="20"/>
  <c r="L51" i="20" s="1"/>
  <c r="E27" i="16"/>
  <c r="I27" i="16" s="1"/>
  <c r="H27" i="16"/>
  <c r="L27" i="16" s="1"/>
  <c r="F27" i="16"/>
  <c r="J27" i="16" s="1"/>
  <c r="G27" i="16"/>
  <c r="K27" i="16" s="1"/>
  <c r="F43" i="8"/>
  <c r="J43" i="8" s="1"/>
  <c r="G43" i="8"/>
  <c r="K43" i="8" s="1"/>
  <c r="E43" i="8"/>
  <c r="I43" i="8" s="1"/>
  <c r="H43" i="8"/>
  <c r="L43" i="8" s="1"/>
  <c r="F52" i="21"/>
  <c r="J52" i="21" s="1"/>
  <c r="H52" i="21"/>
  <c r="L52" i="21" s="1"/>
  <c r="G52" i="21"/>
  <c r="K52" i="21" s="1"/>
  <c r="E52" i="21"/>
  <c r="I52" i="21" s="1"/>
  <c r="F61" i="8"/>
  <c r="J61" i="8" s="1"/>
  <c r="H61" i="8"/>
  <c r="L61" i="8" s="1"/>
  <c r="E61" i="8"/>
  <c r="I61" i="8" s="1"/>
  <c r="G61" i="8"/>
  <c r="K61" i="8" s="1"/>
  <c r="G29" i="21"/>
  <c r="K29" i="21" s="1"/>
  <c r="H29" i="21"/>
  <c r="L29" i="21" s="1"/>
  <c r="E29" i="21"/>
  <c r="I29" i="21" s="1"/>
  <c r="F29" i="21"/>
  <c r="J29" i="21" s="1"/>
  <c r="H33" i="26"/>
  <c r="J33" i="26" s="1"/>
  <c r="K33" i="26" s="1"/>
  <c r="F46" i="20"/>
  <c r="J46" i="20" s="1"/>
  <c r="H46" i="20"/>
  <c r="L46" i="20" s="1"/>
  <c r="G46" i="20"/>
  <c r="K46" i="20" s="1"/>
  <c r="E46" i="20"/>
  <c r="I46" i="20" s="1"/>
  <c r="H53" i="20"/>
  <c r="L53" i="20" s="1"/>
  <c r="F53" i="20"/>
  <c r="J53" i="20" s="1"/>
  <c r="E53" i="20"/>
  <c r="I53" i="20" s="1"/>
  <c r="G53" i="20"/>
  <c r="K53" i="20" s="1"/>
  <c r="H69" i="17"/>
  <c r="L69" i="17" s="1"/>
  <c r="E69" i="17"/>
  <c r="I69" i="17" s="1"/>
  <c r="G69" i="17"/>
  <c r="K69" i="17" s="1"/>
  <c r="F69" i="17"/>
  <c r="J69" i="17" s="1"/>
  <c r="G22" i="16"/>
  <c r="K22" i="16" s="1"/>
  <c r="F22" i="16"/>
  <c r="J22" i="16" s="1"/>
  <c r="E22" i="16"/>
  <c r="I22" i="16" s="1"/>
  <c r="H22" i="16"/>
  <c r="L22" i="16" s="1"/>
  <c r="F32" i="20"/>
  <c r="J32" i="20" s="1"/>
  <c r="G32" i="20"/>
  <c r="K32" i="20" s="1"/>
  <c r="H32" i="20"/>
  <c r="L32" i="20" s="1"/>
  <c r="E32" i="20"/>
  <c r="I32" i="20" s="1"/>
  <c r="F39" i="21"/>
  <c r="J39" i="21" s="1"/>
  <c r="G39" i="21"/>
  <c r="K39" i="21" s="1"/>
  <c r="H39" i="21"/>
  <c r="L39" i="21" s="1"/>
  <c r="E39" i="21"/>
  <c r="I39" i="21" s="1"/>
  <c r="F45" i="17"/>
  <c r="J45" i="17" s="1"/>
  <c r="H45" i="17"/>
  <c r="L45" i="17" s="1"/>
  <c r="E45" i="17"/>
  <c r="I45" i="17" s="1"/>
  <c r="G45" i="17"/>
  <c r="K45" i="17" s="1"/>
  <c r="F54" i="17"/>
  <c r="J54" i="17" s="1"/>
  <c r="G54" i="17"/>
  <c r="K54" i="17" s="1"/>
  <c r="E54" i="17"/>
  <c r="I54" i="17" s="1"/>
  <c r="H54" i="17"/>
  <c r="L54" i="17" s="1"/>
  <c r="F64" i="16"/>
  <c r="J64" i="16" s="1"/>
  <c r="H64" i="16"/>
  <c r="L64" i="16" s="1"/>
  <c r="G64" i="16"/>
  <c r="K64" i="16" s="1"/>
  <c r="E64" i="16"/>
  <c r="I64" i="16" s="1"/>
  <c r="F67" i="20"/>
  <c r="J67" i="20" s="1"/>
  <c r="G67" i="20"/>
  <c r="K67" i="20" s="1"/>
  <c r="H67" i="20"/>
  <c r="L67" i="20" s="1"/>
  <c r="E67" i="20"/>
  <c r="I67" i="20" s="1"/>
  <c r="E38" i="8"/>
  <c r="I38" i="8" s="1"/>
  <c r="F38" i="8"/>
  <c r="J38" i="8" s="1"/>
  <c r="H38" i="8"/>
  <c r="L38" i="8" s="1"/>
  <c r="G38" i="8"/>
  <c r="K38" i="8" s="1"/>
  <c r="E47" i="16"/>
  <c r="I47" i="16" s="1"/>
  <c r="F47" i="16"/>
  <c r="J47" i="16" s="1"/>
  <c r="G47" i="16"/>
  <c r="K47" i="16" s="1"/>
  <c r="H47" i="16"/>
  <c r="L47" i="16" s="1"/>
  <c r="E55" i="16"/>
  <c r="I55" i="16" s="1"/>
  <c r="F55" i="16"/>
  <c r="J55" i="16" s="1"/>
  <c r="H55" i="16"/>
  <c r="L55" i="16" s="1"/>
  <c r="G55" i="16"/>
  <c r="K55" i="16" s="1"/>
  <c r="H62" i="8"/>
  <c r="L62" i="8" s="1"/>
  <c r="E62" i="8"/>
  <c r="I62" i="8" s="1"/>
  <c r="G62" i="8"/>
  <c r="K62" i="8" s="1"/>
  <c r="F62" i="8"/>
  <c r="J62" i="8" s="1"/>
  <c r="G23" i="20"/>
  <c r="K23" i="20" s="1"/>
  <c r="F23" i="20"/>
  <c r="J23" i="20" s="1"/>
  <c r="E23" i="20"/>
  <c r="I23" i="20" s="1"/>
  <c r="H23" i="20"/>
  <c r="L23" i="20" s="1"/>
  <c r="H27" i="13"/>
  <c r="J27" i="13" s="1"/>
  <c r="K27" i="13" s="1"/>
  <c r="G40" i="16"/>
  <c r="K40" i="16" s="1"/>
  <c r="H40" i="16"/>
  <c r="L40" i="16" s="1"/>
  <c r="E40" i="16"/>
  <c r="I40" i="16" s="1"/>
  <c r="F40" i="16"/>
  <c r="J40" i="16" s="1"/>
  <c r="E50" i="21"/>
  <c r="I50" i="21" s="1"/>
  <c r="F50" i="21"/>
  <c r="J50" i="21" s="1"/>
  <c r="G50" i="21"/>
  <c r="K50" i="21" s="1"/>
  <c r="H50" i="21"/>
  <c r="L50" i="21" s="1"/>
  <c r="E56" i="16"/>
  <c r="I56" i="16" s="1"/>
  <c r="F56" i="16"/>
  <c r="J56" i="16" s="1"/>
  <c r="H56" i="16"/>
  <c r="L56" i="16" s="1"/>
  <c r="G56" i="16"/>
  <c r="K56" i="16" s="1"/>
  <c r="G66" i="20"/>
  <c r="K66" i="20" s="1"/>
  <c r="H66" i="20"/>
  <c r="L66" i="20" s="1"/>
  <c r="F66" i="20"/>
  <c r="J66" i="20" s="1"/>
  <c r="E66" i="20"/>
  <c r="I66" i="20" s="1"/>
  <c r="E17" i="21"/>
  <c r="I17" i="21" s="1"/>
  <c r="H17" i="21"/>
  <c r="L17" i="21" s="1"/>
  <c r="G17" i="21"/>
  <c r="K17" i="21" s="1"/>
  <c r="F17" i="21"/>
  <c r="J17" i="21" s="1"/>
  <c r="F33" i="16"/>
  <c r="J33" i="16" s="1"/>
  <c r="H33" i="16"/>
  <c r="L33" i="16" s="1"/>
  <c r="G33" i="16"/>
  <c r="K33" i="16" s="1"/>
  <c r="E33" i="16"/>
  <c r="I33" i="16" s="1"/>
  <c r="E41" i="17"/>
  <c r="I41" i="17" s="1"/>
  <c r="G41" i="17"/>
  <c r="K41" i="17" s="1"/>
  <c r="H41" i="17"/>
  <c r="L41" i="17" s="1"/>
  <c r="F41" i="17"/>
  <c r="J41" i="17" s="1"/>
  <c r="H37" i="25"/>
  <c r="J37" i="25" s="1"/>
  <c r="K37" i="25" s="1"/>
  <c r="H44" i="25"/>
  <c r="J44" i="25" s="1"/>
  <c r="K44" i="25" s="1"/>
  <c r="G63" i="16"/>
  <c r="K63" i="16" s="1"/>
  <c r="H63" i="16"/>
  <c r="L63" i="16" s="1"/>
  <c r="E63" i="16"/>
  <c r="I63" i="16" s="1"/>
  <c r="F63" i="16"/>
  <c r="J63" i="16" s="1"/>
  <c r="F74" i="20"/>
  <c r="J74" i="20" s="1"/>
  <c r="H74" i="20"/>
  <c r="L74" i="20" s="1"/>
  <c r="E74" i="20"/>
  <c r="I74" i="20" s="1"/>
  <c r="G74" i="20"/>
  <c r="K74" i="20" s="1"/>
  <c r="F19" i="17"/>
  <c r="J19" i="17" s="1"/>
  <c r="E19" i="17"/>
  <c r="I19" i="17" s="1"/>
  <c r="H19" i="17"/>
  <c r="L19" i="17" s="1"/>
  <c r="G19" i="17"/>
  <c r="K19" i="17" s="1"/>
  <c r="H34" i="21"/>
  <c r="L34" i="21" s="1"/>
  <c r="G34" i="21"/>
  <c r="K34" i="21" s="1"/>
  <c r="E34" i="21"/>
  <c r="I34" i="21" s="1"/>
  <c r="F34" i="21"/>
  <c r="J34" i="21" s="1"/>
  <c r="H30" i="23"/>
  <c r="J30" i="23" s="1"/>
  <c r="K30" i="23" s="1"/>
  <c r="H38" i="24"/>
  <c r="J38" i="24" s="1"/>
  <c r="K38" i="24" s="1"/>
  <c r="H45" i="13"/>
  <c r="J45" i="13" s="1"/>
  <c r="H55" i="26"/>
  <c r="J55" i="26" s="1"/>
  <c r="K55" i="26" s="1"/>
  <c r="E73" i="16"/>
  <c r="I73" i="16" s="1"/>
  <c r="F73" i="16"/>
  <c r="J73" i="16" s="1"/>
  <c r="H73" i="16"/>
  <c r="L73" i="16" s="1"/>
  <c r="G73" i="16"/>
  <c r="K73" i="16" s="1"/>
  <c r="F65" i="17"/>
  <c r="J65" i="17" s="1"/>
  <c r="E65" i="17"/>
  <c r="I65" i="17" s="1"/>
  <c r="H65" i="17"/>
  <c r="L65" i="17" s="1"/>
  <c r="G65" i="17"/>
  <c r="K65" i="17" s="1"/>
  <c r="G21" i="16"/>
  <c r="K21" i="16" s="1"/>
  <c r="F21" i="16"/>
  <c r="J21" i="16" s="1"/>
  <c r="H21" i="16"/>
  <c r="L21" i="16" s="1"/>
  <c r="E21" i="16"/>
  <c r="I21" i="16" s="1"/>
  <c r="H27" i="20"/>
  <c r="L27" i="20" s="1"/>
  <c r="F27" i="20"/>
  <c r="J27" i="20" s="1"/>
  <c r="G27" i="20"/>
  <c r="K27" i="20" s="1"/>
  <c r="E27" i="20"/>
  <c r="I27" i="20" s="1"/>
  <c r="H43" i="20"/>
  <c r="L43" i="20" s="1"/>
  <c r="E43" i="20"/>
  <c r="I43" i="20" s="1"/>
  <c r="F43" i="20"/>
  <c r="J43" i="20" s="1"/>
  <c r="G43" i="20"/>
  <c r="K43" i="20" s="1"/>
  <c r="H52" i="8"/>
  <c r="L52" i="8" s="1"/>
  <c r="E52" i="8"/>
  <c r="I52" i="8" s="1"/>
  <c r="F52" i="8"/>
  <c r="J52" i="8" s="1"/>
  <c r="G52" i="8"/>
  <c r="K52" i="8" s="1"/>
  <c r="F61" i="20"/>
  <c r="J61" i="20" s="1"/>
  <c r="E61" i="20"/>
  <c r="I61" i="20" s="1"/>
  <c r="H61" i="20"/>
  <c r="L61" i="20" s="1"/>
  <c r="G61" i="20"/>
  <c r="K61" i="20" s="1"/>
  <c r="F29" i="16"/>
  <c r="J29" i="16" s="1"/>
  <c r="H29" i="16"/>
  <c r="L29" i="16" s="1"/>
  <c r="G29" i="16"/>
  <c r="K29" i="16" s="1"/>
  <c r="E29" i="16"/>
  <c r="I29" i="16" s="1"/>
  <c r="H42" i="26"/>
  <c r="J42" i="26" s="1"/>
  <c r="K42" i="26" s="1"/>
  <c r="H49" i="26"/>
  <c r="J49" i="26" s="1"/>
  <c r="K49" i="26" s="1"/>
  <c r="G69" i="16"/>
  <c r="K69" i="16" s="1"/>
  <c r="F69" i="16"/>
  <c r="J69" i="16" s="1"/>
  <c r="E69" i="16"/>
  <c r="I69" i="16" s="1"/>
  <c r="H69" i="16"/>
  <c r="L69" i="16" s="1"/>
  <c r="H22" i="20"/>
  <c r="L22" i="20" s="1"/>
  <c r="E22" i="20"/>
  <c r="I22" i="20" s="1"/>
  <c r="G22" i="20"/>
  <c r="K22" i="20" s="1"/>
  <c r="F22" i="20"/>
  <c r="J22" i="20" s="1"/>
  <c r="H28" i="26"/>
  <c r="J28" i="26" s="1"/>
  <c r="K28" i="26" s="1"/>
  <c r="F39" i="8"/>
  <c r="J39" i="8" s="1"/>
  <c r="G39" i="8"/>
  <c r="K39" i="8" s="1"/>
  <c r="E39" i="8"/>
  <c r="I39" i="8" s="1"/>
  <c r="H39" i="8"/>
  <c r="L39" i="8" s="1"/>
  <c r="F45" i="16"/>
  <c r="J45" i="16" s="1"/>
  <c r="G45" i="16"/>
  <c r="K45" i="16" s="1"/>
  <c r="H45" i="16"/>
  <c r="L45" i="16" s="1"/>
  <c r="E45" i="16"/>
  <c r="I45" i="16" s="1"/>
  <c r="E54" i="21"/>
  <c r="I54" i="21" s="1"/>
  <c r="G54" i="21"/>
  <c r="K54" i="21" s="1"/>
  <c r="F54" i="21"/>
  <c r="J54" i="21" s="1"/>
  <c r="H54" i="21"/>
  <c r="L54" i="21" s="1"/>
  <c r="F64" i="21"/>
  <c r="J64" i="21" s="1"/>
  <c r="E64" i="21"/>
  <c r="I64" i="21" s="1"/>
  <c r="H64" i="21"/>
  <c r="L64" i="21" s="1"/>
  <c r="G64" i="21"/>
  <c r="K64" i="21" s="1"/>
  <c r="E24" i="17"/>
  <c r="I24" i="17" s="1"/>
  <c r="G24" i="17"/>
  <c r="K24" i="17" s="1"/>
  <c r="H24" i="17"/>
  <c r="L24" i="17" s="1"/>
  <c r="F24" i="17"/>
  <c r="J24" i="17" s="1"/>
  <c r="G38" i="20"/>
  <c r="K38" i="20" s="1"/>
  <c r="F38" i="20"/>
  <c r="J38" i="20" s="1"/>
  <c r="E38" i="20"/>
  <c r="I38" i="20" s="1"/>
  <c r="H38" i="20"/>
  <c r="L38" i="20" s="1"/>
  <c r="G47" i="21"/>
  <c r="K47" i="21" s="1"/>
  <c r="F47" i="21"/>
  <c r="J47" i="21" s="1"/>
  <c r="H47" i="21"/>
  <c r="L47" i="21" s="1"/>
  <c r="E47" i="21"/>
  <c r="I47" i="21" s="1"/>
  <c r="E55" i="21"/>
  <c r="I55" i="21" s="1"/>
  <c r="G55" i="21"/>
  <c r="K55" i="21" s="1"/>
  <c r="H55" i="21"/>
  <c r="L55" i="21" s="1"/>
  <c r="F55" i="21"/>
  <c r="J55" i="21" s="1"/>
  <c r="H62" i="20"/>
  <c r="L62" i="20" s="1"/>
  <c r="E62" i="20"/>
  <c r="I62" i="20" s="1"/>
  <c r="G62" i="20"/>
  <c r="K62" i="20" s="1"/>
  <c r="F62" i="20"/>
  <c r="J62" i="20" s="1"/>
  <c r="E18" i="8"/>
  <c r="I18" i="8" s="1"/>
  <c r="H18" i="8"/>
  <c r="L18" i="8" s="1"/>
  <c r="G18" i="8"/>
  <c r="K18" i="8" s="1"/>
  <c r="F18" i="8"/>
  <c r="J18" i="8" s="1"/>
  <c r="F23" i="17"/>
  <c r="J23" i="17" s="1"/>
  <c r="G23" i="17"/>
  <c r="K23" i="17" s="1"/>
  <c r="E23" i="17"/>
  <c r="I23" i="17" s="1"/>
  <c r="H23" i="17"/>
  <c r="L23" i="17" s="1"/>
  <c r="H27" i="26"/>
  <c r="J27" i="26" s="1"/>
  <c r="K27" i="26" s="1"/>
  <c r="G40" i="8"/>
  <c r="K40" i="8" s="1"/>
  <c r="H40" i="8"/>
  <c r="L40" i="8" s="1"/>
  <c r="E40" i="8"/>
  <c r="I40" i="8" s="1"/>
  <c r="F40" i="8"/>
  <c r="J40" i="8" s="1"/>
  <c r="H50" i="16"/>
  <c r="L50" i="16" s="1"/>
  <c r="E50" i="16"/>
  <c r="I50" i="16" s="1"/>
  <c r="G50" i="16"/>
  <c r="K50" i="16" s="1"/>
  <c r="F50" i="16"/>
  <c r="J50" i="16" s="1"/>
  <c r="F56" i="8"/>
  <c r="J56" i="8" s="1"/>
  <c r="G56" i="8"/>
  <c r="K56" i="8" s="1"/>
  <c r="E56" i="8"/>
  <c r="I56" i="8" s="1"/>
  <c r="H56" i="8"/>
  <c r="L56" i="8" s="1"/>
  <c r="F72" i="17"/>
  <c r="J72" i="17" s="1"/>
  <c r="E72" i="17"/>
  <c r="I72" i="17" s="1"/>
  <c r="H72" i="17"/>
  <c r="L72" i="17" s="1"/>
  <c r="G72" i="17"/>
  <c r="K72" i="17" s="1"/>
  <c r="H25" i="17"/>
  <c r="L25" i="17" s="1"/>
  <c r="E25" i="17"/>
  <c r="I25" i="17" s="1"/>
  <c r="G25" i="17"/>
  <c r="K25" i="17" s="1"/>
  <c r="F25" i="17"/>
  <c r="J25" i="17" s="1"/>
  <c r="F33" i="8"/>
  <c r="J33" i="8" s="1"/>
  <c r="H33" i="8"/>
  <c r="L33" i="8" s="1"/>
  <c r="G33" i="8"/>
  <c r="K33" i="8" s="1"/>
  <c r="E33" i="8"/>
  <c r="I33" i="8" s="1"/>
  <c r="E41" i="16"/>
  <c r="I41" i="16" s="1"/>
  <c r="G41" i="16"/>
  <c r="K41" i="16" s="1"/>
  <c r="F41" i="16"/>
  <c r="J41" i="16" s="1"/>
  <c r="H41" i="16"/>
  <c r="L41" i="16" s="1"/>
  <c r="F48" i="17"/>
  <c r="J48" i="17" s="1"/>
  <c r="G48" i="17"/>
  <c r="K48" i="17" s="1"/>
  <c r="E48" i="17"/>
  <c r="I48" i="17" s="1"/>
  <c r="H48" i="17"/>
  <c r="L48" i="17" s="1"/>
  <c r="G57" i="17"/>
  <c r="K57" i="17" s="1"/>
  <c r="E57" i="17"/>
  <c r="I57" i="17" s="1"/>
  <c r="F57" i="17"/>
  <c r="J57" i="17" s="1"/>
  <c r="H57" i="17"/>
  <c r="L57" i="17" s="1"/>
  <c r="H63" i="21"/>
  <c r="L63" i="21" s="1"/>
  <c r="E63" i="21"/>
  <c r="I63" i="21" s="1"/>
  <c r="F63" i="21"/>
  <c r="J63" i="21" s="1"/>
  <c r="G63" i="21"/>
  <c r="K63" i="21" s="1"/>
  <c r="H19" i="8"/>
  <c r="L19" i="8" s="1"/>
  <c r="E19" i="8"/>
  <c r="I19" i="8" s="1"/>
  <c r="G19" i="8"/>
  <c r="K19" i="8" s="1"/>
  <c r="F19" i="8"/>
  <c r="J19" i="8" s="1"/>
  <c r="H34" i="16"/>
  <c r="L34" i="16" s="1"/>
  <c r="F34" i="16"/>
  <c r="J34" i="16" s="1"/>
  <c r="G34" i="16"/>
  <c r="K34" i="16" s="1"/>
  <c r="E34" i="16"/>
  <c r="I34" i="16" s="1"/>
  <c r="G42" i="17"/>
  <c r="K42" i="17" s="1"/>
  <c r="F42" i="17"/>
  <c r="J42" i="17" s="1"/>
  <c r="H42" i="17"/>
  <c r="L42" i="17" s="1"/>
  <c r="E42" i="17"/>
  <c r="I42" i="17" s="1"/>
  <c r="H38" i="25"/>
  <c r="J38" i="25" s="1"/>
  <c r="K38" i="25" s="1"/>
  <c r="H45" i="25"/>
  <c r="J45" i="25" s="1"/>
  <c r="K45" i="25" s="1"/>
  <c r="E68" i="17"/>
  <c r="I68" i="17" s="1"/>
  <c r="G68" i="17"/>
  <c r="K68" i="17" s="1"/>
  <c r="F68" i="17"/>
  <c r="J68" i="17" s="1"/>
  <c r="H68" i="17"/>
  <c r="L68" i="17" s="1"/>
  <c r="H73" i="8"/>
  <c r="L73" i="8" s="1"/>
  <c r="F73" i="8"/>
  <c r="J73" i="8" s="1"/>
  <c r="G73" i="8"/>
  <c r="K73" i="8" s="1"/>
  <c r="E73" i="8"/>
  <c r="I73" i="8" s="1"/>
  <c r="G65" i="21"/>
  <c r="K65" i="21" s="1"/>
  <c r="E65" i="21"/>
  <c r="I65" i="21" s="1"/>
  <c r="H65" i="21"/>
  <c r="L65" i="21" s="1"/>
  <c r="F65" i="21"/>
  <c r="J65" i="21" s="1"/>
  <c r="H21" i="17"/>
  <c r="L21" i="17" s="1"/>
  <c r="E21" i="17"/>
  <c r="I21" i="17" s="1"/>
  <c r="G21" i="17"/>
  <c r="K21" i="17" s="1"/>
  <c r="F21" i="17"/>
  <c r="J21" i="17" s="1"/>
  <c r="F27" i="8"/>
  <c r="J27" i="8" s="1"/>
  <c r="G27" i="8"/>
  <c r="K27" i="8" s="1"/>
  <c r="E27" i="8"/>
  <c r="I27" i="8" s="1"/>
  <c r="H27" i="8"/>
  <c r="L27" i="8" s="1"/>
  <c r="H52" i="20"/>
  <c r="L52" i="20" s="1"/>
  <c r="G52" i="20"/>
  <c r="K52" i="20" s="1"/>
  <c r="E52" i="20"/>
  <c r="I52" i="20" s="1"/>
  <c r="F52" i="20"/>
  <c r="J52" i="20" s="1"/>
  <c r="E70" i="17"/>
  <c r="I70" i="17" s="1"/>
  <c r="G70" i="17"/>
  <c r="K70" i="17" s="1"/>
  <c r="H70" i="17"/>
  <c r="L70" i="17" s="1"/>
  <c r="F70" i="17"/>
  <c r="J70" i="17" s="1"/>
  <c r="H20" i="16"/>
  <c r="L20" i="16" s="1"/>
  <c r="G20" i="16"/>
  <c r="K20" i="16" s="1"/>
  <c r="E20" i="16"/>
  <c r="I20" i="16" s="1"/>
  <c r="F20" i="16"/>
  <c r="J20" i="16" s="1"/>
  <c r="E29" i="8"/>
  <c r="I29" i="8" s="1"/>
  <c r="G29" i="8"/>
  <c r="K29" i="8" s="1"/>
  <c r="F29" i="8"/>
  <c r="J29" i="8" s="1"/>
  <c r="H29" i="8"/>
  <c r="L29" i="8" s="1"/>
  <c r="E37" i="17"/>
  <c r="I37" i="17" s="1"/>
  <c r="G37" i="17"/>
  <c r="K37" i="17" s="1"/>
  <c r="H37" i="17"/>
  <c r="L37" i="17" s="1"/>
  <c r="F37" i="17"/>
  <c r="J37" i="17" s="1"/>
  <c r="H33" i="25"/>
  <c r="J33" i="25" s="1"/>
  <c r="K33" i="25" s="1"/>
  <c r="H42" i="13"/>
  <c r="J42" i="13" s="1"/>
  <c r="K42" i="13" s="1"/>
  <c r="H49" i="25"/>
  <c r="J49" i="25" s="1"/>
  <c r="K49" i="25" s="1"/>
  <c r="E69" i="21"/>
  <c r="I69" i="21" s="1"/>
  <c r="G69" i="21"/>
  <c r="K69" i="21" s="1"/>
  <c r="H69" i="21"/>
  <c r="L69" i="21" s="1"/>
  <c r="F69" i="21"/>
  <c r="J69" i="21" s="1"/>
  <c r="H22" i="21"/>
  <c r="L22" i="21" s="1"/>
  <c r="E22" i="21"/>
  <c r="I22" i="21" s="1"/>
  <c r="F22" i="21"/>
  <c r="J22" i="21" s="1"/>
  <c r="G22" i="21"/>
  <c r="K22" i="21" s="1"/>
  <c r="H28" i="13"/>
  <c r="J28" i="13" s="1"/>
  <c r="K28" i="13" s="1"/>
  <c r="E39" i="20"/>
  <c r="I39" i="20" s="1"/>
  <c r="G39" i="20"/>
  <c r="K39" i="20" s="1"/>
  <c r="H39" i="20"/>
  <c r="L39" i="20" s="1"/>
  <c r="F39" i="20"/>
  <c r="J39" i="20" s="1"/>
  <c r="E45" i="21"/>
  <c r="I45" i="21" s="1"/>
  <c r="H45" i="21"/>
  <c r="L45" i="21" s="1"/>
  <c r="F45" i="21"/>
  <c r="J45" i="21" s="1"/>
  <c r="G45" i="21"/>
  <c r="K45" i="21" s="1"/>
  <c r="F54" i="16"/>
  <c r="J54" i="16" s="1"/>
  <c r="E54" i="16"/>
  <c r="I54" i="16" s="1"/>
  <c r="G54" i="16"/>
  <c r="K54" i="16" s="1"/>
  <c r="H54" i="16"/>
  <c r="L54" i="16" s="1"/>
  <c r="H64" i="8"/>
  <c r="L64" i="8" s="1"/>
  <c r="F64" i="8"/>
  <c r="J64" i="8" s="1"/>
  <c r="E64" i="8"/>
  <c r="I64" i="8" s="1"/>
  <c r="G64" i="8"/>
  <c r="K64" i="8" s="1"/>
  <c r="E24" i="8"/>
  <c r="I24" i="8" s="1"/>
  <c r="F24" i="8"/>
  <c r="J24" i="8" s="1"/>
  <c r="G24" i="8"/>
  <c r="K24" i="8" s="1"/>
  <c r="H24" i="8"/>
  <c r="L24" i="8" s="1"/>
  <c r="H34" i="26"/>
  <c r="J34" i="26" s="1"/>
  <c r="K34" i="26" s="1"/>
  <c r="H47" i="8"/>
  <c r="L47" i="8" s="1"/>
  <c r="F47" i="8"/>
  <c r="J47" i="8" s="1"/>
  <c r="G47" i="8"/>
  <c r="K47" i="8" s="1"/>
  <c r="E47" i="8"/>
  <c r="I47" i="8" s="1"/>
  <c r="G55" i="8"/>
  <c r="K55" i="8" s="1"/>
  <c r="H55" i="8"/>
  <c r="L55" i="8" s="1"/>
  <c r="E55" i="8"/>
  <c r="I55" i="8" s="1"/>
  <c r="F55" i="8"/>
  <c r="J55" i="8" s="1"/>
  <c r="H71" i="17"/>
  <c r="L71" i="17" s="1"/>
  <c r="E71" i="17"/>
  <c r="I71" i="17" s="1"/>
  <c r="F71" i="17"/>
  <c r="J71" i="17" s="1"/>
  <c r="G71" i="17"/>
  <c r="K71" i="17" s="1"/>
  <c r="F18" i="17"/>
  <c r="J18" i="17" s="1"/>
  <c r="H18" i="17"/>
  <c r="L18" i="17" s="1"/>
  <c r="E18" i="17"/>
  <c r="I18" i="17" s="1"/>
  <c r="G18" i="17"/>
  <c r="K18" i="17" s="1"/>
  <c r="H23" i="21"/>
  <c r="L23" i="21" s="1"/>
  <c r="E23" i="21"/>
  <c r="I23" i="21" s="1"/>
  <c r="G23" i="21"/>
  <c r="K23" i="21" s="1"/>
  <c r="F23" i="21"/>
  <c r="J23" i="21" s="1"/>
  <c r="H27" i="24"/>
  <c r="J27" i="24" s="1"/>
  <c r="K27" i="24" s="1"/>
  <c r="G40" i="20"/>
  <c r="K40" i="20" s="1"/>
  <c r="H40" i="20"/>
  <c r="L40" i="20" s="1"/>
  <c r="E40" i="20"/>
  <c r="I40" i="20" s="1"/>
  <c r="F40" i="20"/>
  <c r="J40" i="20" s="1"/>
  <c r="H50" i="8"/>
  <c r="L50" i="8" s="1"/>
  <c r="E50" i="8"/>
  <c r="I50" i="8" s="1"/>
  <c r="F50" i="8"/>
  <c r="J50" i="8" s="1"/>
  <c r="G50" i="8"/>
  <c r="K50" i="8" s="1"/>
  <c r="H56" i="20"/>
  <c r="L56" i="20" s="1"/>
  <c r="G56" i="20"/>
  <c r="K56" i="20" s="1"/>
  <c r="F56" i="20"/>
  <c r="J56" i="20" s="1"/>
  <c r="E56" i="20"/>
  <c r="I56" i="20" s="1"/>
  <c r="F72" i="21"/>
  <c r="J72" i="21" s="1"/>
  <c r="H72" i="21"/>
  <c r="L72" i="21" s="1"/>
  <c r="G72" i="21"/>
  <c r="K72" i="21" s="1"/>
  <c r="E72" i="21"/>
  <c r="I72" i="21" s="1"/>
  <c r="G25" i="16"/>
  <c r="K25" i="16" s="1"/>
  <c r="F25" i="16"/>
  <c r="J25" i="16" s="1"/>
  <c r="E25" i="16"/>
  <c r="I25" i="16" s="1"/>
  <c r="H25" i="16"/>
  <c r="L25" i="16" s="1"/>
  <c r="G33" i="20"/>
  <c r="K33" i="20" s="1"/>
  <c r="H33" i="20"/>
  <c r="L33" i="20" s="1"/>
  <c r="E33" i="20"/>
  <c r="I33" i="20" s="1"/>
  <c r="F33" i="20"/>
  <c r="J33" i="20" s="1"/>
  <c r="G41" i="21"/>
  <c r="K41" i="21" s="1"/>
  <c r="H41" i="21"/>
  <c r="L41" i="21" s="1"/>
  <c r="E41" i="21"/>
  <c r="I41" i="21" s="1"/>
  <c r="F41" i="21"/>
  <c r="J41" i="21" s="1"/>
  <c r="F48" i="16"/>
  <c r="J48" i="16" s="1"/>
  <c r="E48" i="16"/>
  <c r="I48" i="16" s="1"/>
  <c r="H48" i="16"/>
  <c r="L48" i="16" s="1"/>
  <c r="G48" i="16"/>
  <c r="K48" i="16" s="1"/>
  <c r="E57" i="21"/>
  <c r="I57" i="21" s="1"/>
  <c r="F57" i="21"/>
  <c r="J57" i="21" s="1"/>
  <c r="G57" i="21"/>
  <c r="K57" i="21" s="1"/>
  <c r="H57" i="21"/>
  <c r="L57" i="21" s="1"/>
  <c r="F63" i="8"/>
  <c r="J63" i="8" s="1"/>
  <c r="E63" i="8"/>
  <c r="I63" i="8" s="1"/>
  <c r="G63" i="8"/>
  <c r="K63" i="8" s="1"/>
  <c r="H63" i="8"/>
  <c r="L63" i="8" s="1"/>
  <c r="H26" i="17"/>
  <c r="L26" i="17" s="1"/>
  <c r="F26" i="17"/>
  <c r="J26" i="17" s="1"/>
  <c r="E26" i="17"/>
  <c r="I26" i="17" s="1"/>
  <c r="G26" i="17"/>
  <c r="K26" i="17" s="1"/>
  <c r="F34" i="8"/>
  <c r="J34" i="8" s="1"/>
  <c r="E34" i="8"/>
  <c r="I34" i="8" s="1"/>
  <c r="G34" i="8"/>
  <c r="K34" i="8" s="1"/>
  <c r="H34" i="8"/>
  <c r="L34" i="8" s="1"/>
  <c r="H42" i="21"/>
  <c r="L42" i="21" s="1"/>
  <c r="F42" i="21"/>
  <c r="J42" i="21" s="1"/>
  <c r="E42" i="21"/>
  <c r="I42" i="21" s="1"/>
  <c r="G42" i="21"/>
  <c r="K42" i="21" s="1"/>
  <c r="G49" i="17"/>
  <c r="K49" i="17" s="1"/>
  <c r="H49" i="17"/>
  <c r="L49" i="17" s="1"/>
  <c r="E49" i="17"/>
  <c r="I49" i="17" s="1"/>
  <c r="F49" i="17"/>
  <c r="J49" i="17" s="1"/>
  <c r="G68" i="21"/>
  <c r="K68" i="21" s="1"/>
  <c r="F68" i="21"/>
  <c r="J68" i="21" s="1"/>
  <c r="E68" i="21"/>
  <c r="I68" i="21" s="1"/>
  <c r="H68" i="21"/>
  <c r="L68" i="21" s="1"/>
  <c r="H73" i="20"/>
  <c r="L73" i="20" s="1"/>
  <c r="F73" i="20"/>
  <c r="J73" i="20" s="1"/>
  <c r="E73" i="20"/>
  <c r="I73" i="20" s="1"/>
  <c r="G73" i="20"/>
  <c r="K73" i="20" s="1"/>
  <c r="E35" i="17"/>
  <c r="I35" i="17" s="1"/>
  <c r="F35" i="17"/>
  <c r="J35" i="17" s="1"/>
  <c r="G35" i="17"/>
  <c r="K35" i="17" s="1"/>
  <c r="H35" i="17"/>
  <c r="L35" i="17" s="1"/>
  <c r="H58" i="17"/>
  <c r="L58" i="17" s="1"/>
  <c r="F58" i="17"/>
  <c r="J58" i="17" s="1"/>
  <c r="E58" i="17"/>
  <c r="I58" i="17" s="1"/>
  <c r="G58" i="17"/>
  <c r="K58" i="17" s="1"/>
  <c r="H65" i="16"/>
  <c r="L65" i="16" s="1"/>
  <c r="F65" i="16"/>
  <c r="J65" i="16" s="1"/>
  <c r="E65" i="16"/>
  <c r="I65" i="16" s="1"/>
  <c r="G65" i="16"/>
  <c r="K65" i="16" s="1"/>
  <c r="H21" i="8"/>
  <c r="L21" i="8" s="1"/>
  <c r="F21" i="8"/>
  <c r="J21" i="8" s="1"/>
  <c r="G21" i="8"/>
  <c r="K21" i="8" s="1"/>
  <c r="E21" i="8"/>
  <c r="I21" i="8" s="1"/>
  <c r="H36" i="17"/>
  <c r="L36" i="17" s="1"/>
  <c r="G36" i="17"/>
  <c r="K36" i="17" s="1"/>
  <c r="E36" i="17"/>
  <c r="I36" i="17" s="1"/>
  <c r="F36" i="17"/>
  <c r="J36" i="17" s="1"/>
  <c r="F70" i="16"/>
  <c r="J70" i="16" s="1"/>
  <c r="H70" i="16"/>
  <c r="L70" i="16" s="1"/>
  <c r="G70" i="16"/>
  <c r="K70" i="16" s="1"/>
  <c r="E70" i="16"/>
  <c r="I70" i="16" s="1"/>
  <c r="E20" i="8"/>
  <c r="I20" i="8" s="1"/>
  <c r="G20" i="8"/>
  <c r="K20" i="8" s="1"/>
  <c r="F20" i="8"/>
  <c r="J20" i="8" s="1"/>
  <c r="H20" i="8"/>
  <c r="L20" i="8" s="1"/>
  <c r="H37" i="16"/>
  <c r="L37" i="16" s="1"/>
  <c r="G37" i="16"/>
  <c r="K37" i="16" s="1"/>
  <c r="E37" i="16"/>
  <c r="I37" i="16" s="1"/>
  <c r="F37" i="16"/>
  <c r="J37" i="16" s="1"/>
  <c r="H33" i="24"/>
  <c r="J33" i="24" s="1"/>
  <c r="K33" i="24" s="1"/>
  <c r="H42" i="25"/>
  <c r="J42" i="25" s="1"/>
  <c r="K42" i="25" s="1"/>
  <c r="E60" i="17"/>
  <c r="I60" i="17" s="1"/>
  <c r="H60" i="17"/>
  <c r="L60" i="17" s="1"/>
  <c r="G60" i="17"/>
  <c r="K60" i="17" s="1"/>
  <c r="F60" i="17"/>
  <c r="J60" i="17" s="1"/>
  <c r="F69" i="8"/>
  <c r="J69" i="8" s="1"/>
  <c r="E69" i="8"/>
  <c r="I69" i="8" s="1"/>
  <c r="G69" i="8"/>
  <c r="K69" i="8" s="1"/>
  <c r="H69" i="8"/>
  <c r="L69" i="8" s="1"/>
  <c r="E22" i="17"/>
  <c r="I22" i="17" s="1"/>
  <c r="G22" i="17"/>
  <c r="K22" i="17" s="1"/>
  <c r="H22" i="17"/>
  <c r="L22" i="17" s="1"/>
  <c r="F22" i="17"/>
  <c r="J22" i="17" s="1"/>
  <c r="H28" i="23"/>
  <c r="J28" i="23" s="1"/>
  <c r="K28" i="23" s="1"/>
  <c r="H35" i="26"/>
  <c r="J35" i="26" s="1"/>
  <c r="K35" i="26" s="1"/>
  <c r="E45" i="8"/>
  <c r="I45" i="8" s="1"/>
  <c r="H45" i="8"/>
  <c r="L45" i="8" s="1"/>
  <c r="G45" i="8"/>
  <c r="K45" i="8" s="1"/>
  <c r="F45" i="8"/>
  <c r="J45" i="8" s="1"/>
  <c r="H54" i="8"/>
  <c r="L54" i="8" s="1"/>
  <c r="E54" i="8"/>
  <c r="I54" i="8" s="1"/>
  <c r="G54" i="8"/>
  <c r="K54" i="8" s="1"/>
  <c r="F54" i="8"/>
  <c r="J54" i="8" s="1"/>
  <c r="H64" i="20"/>
  <c r="L64" i="20" s="1"/>
  <c r="G64" i="20"/>
  <c r="K64" i="20" s="1"/>
  <c r="E64" i="20"/>
  <c r="I64" i="20" s="1"/>
  <c r="F64" i="20"/>
  <c r="J64" i="20" s="1"/>
  <c r="H24" i="21"/>
  <c r="L24" i="21" s="1"/>
  <c r="E24" i="21"/>
  <c r="I24" i="21" s="1"/>
  <c r="F24" i="21"/>
  <c r="J24" i="21" s="1"/>
  <c r="G24" i="21"/>
  <c r="K24" i="21" s="1"/>
  <c r="E30" i="17"/>
  <c r="I30" i="17" s="1"/>
  <c r="G30" i="17"/>
  <c r="K30" i="17" s="1"/>
  <c r="H30" i="17"/>
  <c r="L30" i="17" s="1"/>
  <c r="F30" i="17"/>
  <c r="J30" i="17" s="1"/>
  <c r="H34" i="13"/>
  <c r="J34" i="13" s="1"/>
  <c r="K34" i="13" s="1"/>
  <c r="F47" i="20"/>
  <c r="J47" i="20" s="1"/>
  <c r="H47" i="20"/>
  <c r="L47" i="20" s="1"/>
  <c r="E47" i="20"/>
  <c r="I47" i="20" s="1"/>
  <c r="G47" i="20"/>
  <c r="K47" i="20" s="1"/>
  <c r="G55" i="20"/>
  <c r="K55" i="20" s="1"/>
  <c r="F55" i="20"/>
  <c r="J55" i="20" s="1"/>
  <c r="E55" i="20"/>
  <c r="I55" i="20" s="1"/>
  <c r="H55" i="20"/>
  <c r="L55" i="20" s="1"/>
  <c r="F71" i="21"/>
  <c r="J71" i="21" s="1"/>
  <c r="E71" i="21"/>
  <c r="I71" i="21" s="1"/>
  <c r="G71" i="21"/>
  <c r="K71" i="21" s="1"/>
  <c r="H71" i="21"/>
  <c r="L71" i="21" s="1"/>
  <c r="H18" i="16"/>
  <c r="L18" i="16" s="1"/>
  <c r="G18" i="16"/>
  <c r="K18" i="16" s="1"/>
  <c r="F18" i="16"/>
  <c r="J18" i="16" s="1"/>
  <c r="E18" i="16"/>
  <c r="I18" i="16" s="1"/>
  <c r="H31" i="17"/>
  <c r="L31" i="17" s="1"/>
  <c r="E31" i="17"/>
  <c r="I31" i="17" s="1"/>
  <c r="G31" i="17"/>
  <c r="K31" i="17" s="1"/>
  <c r="F31" i="17"/>
  <c r="J31" i="17" s="1"/>
  <c r="H27" i="23"/>
  <c r="J27" i="23" s="1"/>
  <c r="K27" i="23" s="1"/>
  <c r="H36" i="13"/>
  <c r="J36" i="13" s="1"/>
  <c r="K36" i="13" s="1"/>
  <c r="H50" i="20"/>
  <c r="L50" i="20" s="1"/>
  <c r="G50" i="20"/>
  <c r="K50" i="20" s="1"/>
  <c r="E50" i="20"/>
  <c r="I50" i="20" s="1"/>
  <c r="F50" i="20"/>
  <c r="J50" i="20" s="1"/>
  <c r="H52" i="26"/>
  <c r="J52" i="26" s="1"/>
  <c r="K52" i="26" s="1"/>
  <c r="H72" i="16"/>
  <c r="L72" i="16" s="1"/>
  <c r="G72" i="16"/>
  <c r="K72" i="16" s="1"/>
  <c r="F72" i="16"/>
  <c r="J72" i="16" s="1"/>
  <c r="E72" i="16"/>
  <c r="I72" i="16" s="1"/>
  <c r="G25" i="21"/>
  <c r="K25" i="21" s="1"/>
  <c r="H25" i="21"/>
  <c r="L25" i="21" s="1"/>
  <c r="E25" i="21"/>
  <c r="I25" i="21" s="1"/>
  <c r="F25" i="21"/>
  <c r="J25" i="21" s="1"/>
  <c r="H29" i="13"/>
  <c r="J29" i="13" s="1"/>
  <c r="K29" i="13" s="1"/>
  <c r="F41" i="8"/>
  <c r="J41" i="8" s="1"/>
  <c r="H41" i="8"/>
  <c r="L41" i="8" s="1"/>
  <c r="G41" i="8"/>
  <c r="K41" i="8" s="1"/>
  <c r="E41" i="8"/>
  <c r="I41" i="8" s="1"/>
  <c r="F48" i="21"/>
  <c r="J48" i="21" s="1"/>
  <c r="E48" i="21"/>
  <c r="I48" i="21" s="1"/>
  <c r="H48" i="21"/>
  <c r="L48" i="21" s="1"/>
  <c r="G48" i="21"/>
  <c r="K48" i="21" s="1"/>
  <c r="F57" i="16"/>
  <c r="J57" i="16" s="1"/>
  <c r="H57" i="16"/>
  <c r="L57" i="16" s="1"/>
  <c r="G57" i="16"/>
  <c r="K57" i="16" s="1"/>
  <c r="E57" i="16"/>
  <c r="I57" i="16" s="1"/>
  <c r="E63" i="20"/>
  <c r="I63" i="20" s="1"/>
  <c r="H63" i="20"/>
  <c r="L63" i="20" s="1"/>
  <c r="F63" i="20"/>
  <c r="J63" i="20" s="1"/>
  <c r="G63" i="20"/>
  <c r="K63" i="20" s="1"/>
  <c r="H26" i="21"/>
  <c r="L26" i="21" s="1"/>
  <c r="E26" i="21"/>
  <c r="I26" i="21" s="1"/>
  <c r="G26" i="21"/>
  <c r="K26" i="21" s="1"/>
  <c r="F26" i="21"/>
  <c r="J26" i="21" s="1"/>
  <c r="G34" i="20"/>
  <c r="K34" i="20" s="1"/>
  <c r="H34" i="20"/>
  <c r="L34" i="20" s="1"/>
  <c r="E34" i="20"/>
  <c r="I34" i="20" s="1"/>
  <c r="F34" i="20"/>
  <c r="J34" i="20" s="1"/>
  <c r="G42" i="16"/>
  <c r="K42" i="16" s="1"/>
  <c r="E42" i="16"/>
  <c r="I42" i="16" s="1"/>
  <c r="F42" i="16"/>
  <c r="J42" i="16" s="1"/>
  <c r="H42" i="16"/>
  <c r="L42" i="16" s="1"/>
  <c r="H49" i="16"/>
  <c r="L49" i="16" s="1"/>
  <c r="G49" i="16"/>
  <c r="K49" i="16" s="1"/>
  <c r="F49" i="16"/>
  <c r="J49" i="16" s="1"/>
  <c r="E49" i="16"/>
  <c r="I49" i="16" s="1"/>
  <c r="H59" i="17"/>
  <c r="L59" i="17" s="1"/>
  <c r="F59" i="17"/>
  <c r="J59" i="17" s="1"/>
  <c r="G59" i="17"/>
  <c r="K59" i="17" s="1"/>
  <c r="E59" i="17"/>
  <c r="I59" i="17" s="1"/>
  <c r="E68" i="16"/>
  <c r="I68" i="16" s="1"/>
  <c r="F68" i="16"/>
  <c r="J68" i="16" s="1"/>
  <c r="G68" i="16"/>
  <c r="K68" i="16" s="1"/>
  <c r="H68" i="16"/>
  <c r="L68" i="16" s="1"/>
  <c r="G35" i="21"/>
  <c r="K35" i="21" s="1"/>
  <c r="F35" i="21"/>
  <c r="J35" i="21" s="1"/>
  <c r="H35" i="21"/>
  <c r="L35" i="21" s="1"/>
  <c r="E35" i="21"/>
  <c r="I35" i="21" s="1"/>
  <c r="F28" i="17"/>
  <c r="J28" i="17" s="1"/>
  <c r="H28" i="17"/>
  <c r="L28" i="17" s="1"/>
  <c r="E28" i="17"/>
  <c r="I28" i="17" s="1"/>
  <c r="G28" i="17"/>
  <c r="K28" i="17" s="1"/>
  <c r="E35" i="8"/>
  <c r="I35" i="8" s="1"/>
  <c r="H35" i="8"/>
  <c r="L35" i="8" s="1"/>
  <c r="F35" i="8"/>
  <c r="J35" i="8" s="1"/>
  <c r="G35" i="8"/>
  <c r="K35" i="8" s="1"/>
  <c r="G44" i="21"/>
  <c r="K44" i="21" s="1"/>
  <c r="E44" i="21"/>
  <c r="I44" i="21" s="1"/>
  <c r="F44" i="21"/>
  <c r="J44" i="21" s="1"/>
  <c r="H44" i="21"/>
  <c r="L44" i="21" s="1"/>
  <c r="F51" i="17"/>
  <c r="J51" i="17" s="1"/>
  <c r="H51" i="17"/>
  <c r="L51" i="17" s="1"/>
  <c r="G51" i="17"/>
  <c r="K51" i="17" s="1"/>
  <c r="E51" i="17"/>
  <c r="I51" i="17" s="1"/>
  <c r="E58" i="16"/>
  <c r="I58" i="16" s="1"/>
  <c r="H58" i="16"/>
  <c r="L58" i="16" s="1"/>
  <c r="G58" i="16"/>
  <c r="K58" i="16" s="1"/>
  <c r="F58" i="16"/>
  <c r="J58" i="16" s="1"/>
  <c r="G65" i="8"/>
  <c r="K65" i="8" s="1"/>
  <c r="E65" i="8"/>
  <c r="I65" i="8" s="1"/>
  <c r="F65" i="8"/>
  <c r="J65" i="8" s="1"/>
  <c r="H65" i="8"/>
  <c r="L65" i="8" s="1"/>
  <c r="H21" i="21"/>
  <c r="L21" i="21" s="1"/>
  <c r="G21" i="21"/>
  <c r="K21" i="21" s="1"/>
  <c r="F21" i="21"/>
  <c r="J21" i="21" s="1"/>
  <c r="E21" i="21"/>
  <c r="I21" i="21" s="1"/>
  <c r="E36" i="21"/>
  <c r="I36" i="21" s="1"/>
  <c r="G36" i="21"/>
  <c r="K36" i="21" s="1"/>
  <c r="H36" i="21"/>
  <c r="L36" i="21" s="1"/>
  <c r="F36" i="21"/>
  <c r="J36" i="21" s="1"/>
  <c r="H70" i="21"/>
  <c r="L70" i="21" s="1"/>
  <c r="F70" i="21"/>
  <c r="J70" i="21" s="1"/>
  <c r="G70" i="21"/>
  <c r="K70" i="21" s="1"/>
  <c r="E70" i="21"/>
  <c r="I70" i="21" s="1"/>
  <c r="E20" i="17"/>
  <c r="I20" i="17" s="1"/>
  <c r="H20" i="17"/>
  <c r="L20" i="17" s="1"/>
  <c r="G20" i="17"/>
  <c r="K20" i="17" s="1"/>
  <c r="F20" i="17"/>
  <c r="J20" i="17" s="1"/>
  <c r="F37" i="21"/>
  <c r="J37" i="21" s="1"/>
  <c r="G37" i="21"/>
  <c r="K37" i="21" s="1"/>
  <c r="H37" i="21"/>
  <c r="L37" i="21" s="1"/>
  <c r="E37" i="21"/>
  <c r="I37" i="21" s="1"/>
  <c r="G46" i="17"/>
  <c r="K46" i="17" s="1"/>
  <c r="H46" i="17"/>
  <c r="L46" i="17" s="1"/>
  <c r="F46" i="17"/>
  <c r="J46" i="17" s="1"/>
  <c r="E46" i="17"/>
  <c r="I46" i="17" s="1"/>
  <c r="G53" i="17"/>
  <c r="K53" i="17" s="1"/>
  <c r="H53" i="17"/>
  <c r="L53" i="17" s="1"/>
  <c r="E53" i="17"/>
  <c r="I53" i="17" s="1"/>
  <c r="F53" i="17"/>
  <c r="J53" i="17" s="1"/>
  <c r="F60" i="16"/>
  <c r="J60" i="16" s="1"/>
  <c r="G60" i="16"/>
  <c r="K60" i="16" s="1"/>
  <c r="H60" i="16"/>
  <c r="L60" i="16" s="1"/>
  <c r="E60" i="16"/>
  <c r="I60" i="16" s="1"/>
  <c r="E69" i="20"/>
  <c r="I69" i="20" s="1"/>
  <c r="H69" i="20"/>
  <c r="L69" i="20" s="1"/>
  <c r="F69" i="20"/>
  <c r="J69" i="20" s="1"/>
  <c r="G69" i="20"/>
  <c r="K69" i="20" s="1"/>
  <c r="F32" i="17"/>
  <c r="J32" i="17" s="1"/>
  <c r="E32" i="17"/>
  <c r="I32" i="17" s="1"/>
  <c r="H32" i="17"/>
  <c r="L32" i="17" s="1"/>
  <c r="G32" i="17"/>
  <c r="K32" i="17" s="1"/>
  <c r="H28" i="25"/>
  <c r="J28" i="25" s="1"/>
  <c r="K28" i="25" s="1"/>
  <c r="H35" i="13"/>
  <c r="J35" i="13" s="1"/>
  <c r="K35" i="13" s="1"/>
  <c r="F45" i="20"/>
  <c r="J45" i="20" s="1"/>
  <c r="E45" i="20"/>
  <c r="I45" i="20" s="1"/>
  <c r="H45" i="20"/>
  <c r="L45" i="20" s="1"/>
  <c r="G45" i="20"/>
  <c r="K45" i="20" s="1"/>
  <c r="F54" i="20"/>
  <c r="J54" i="20" s="1"/>
  <c r="G54" i="20"/>
  <c r="K54" i="20" s="1"/>
  <c r="E54" i="20"/>
  <c r="I54" i="20" s="1"/>
  <c r="H54" i="20"/>
  <c r="L54" i="20" s="1"/>
  <c r="E67" i="17"/>
  <c r="I67" i="17" s="1"/>
  <c r="G67" i="17"/>
  <c r="K67" i="17" s="1"/>
  <c r="H67" i="17"/>
  <c r="L67" i="17" s="1"/>
  <c r="F67" i="17"/>
  <c r="J67" i="17" s="1"/>
  <c r="E24" i="16"/>
  <c r="I24" i="16" s="1"/>
  <c r="G24" i="16"/>
  <c r="K24" i="16" s="1"/>
  <c r="H24" i="16"/>
  <c r="L24" i="16" s="1"/>
  <c r="F24" i="16"/>
  <c r="J24" i="16" s="1"/>
  <c r="E30" i="16"/>
  <c r="I30" i="16" s="1"/>
  <c r="F30" i="16"/>
  <c r="J30" i="16" s="1"/>
  <c r="G30" i="16"/>
  <c r="K30" i="16" s="1"/>
  <c r="H30" i="16"/>
  <c r="L30" i="16" s="1"/>
  <c r="H34" i="23"/>
  <c r="J34" i="23" s="1"/>
  <c r="K34" i="23" s="1"/>
  <c r="H43" i="26"/>
  <c r="J43" i="26" s="1"/>
  <c r="K43" i="26" s="1"/>
  <c r="H51" i="26"/>
  <c r="J51" i="26" s="1"/>
  <c r="K51" i="26" s="1"/>
  <c r="F71" i="16"/>
  <c r="J71" i="16" s="1"/>
  <c r="E71" i="16"/>
  <c r="I71" i="16" s="1"/>
  <c r="H71" i="16"/>
  <c r="L71" i="16" s="1"/>
  <c r="G71" i="16"/>
  <c r="K71" i="16" s="1"/>
  <c r="F18" i="21"/>
  <c r="J18" i="21" s="1"/>
  <c r="E18" i="21"/>
  <c r="I18" i="21" s="1"/>
  <c r="H18" i="21"/>
  <c r="L18" i="21" s="1"/>
  <c r="G18" i="21"/>
  <c r="K18" i="21" s="1"/>
  <c r="E31" i="21"/>
  <c r="I31" i="21" s="1"/>
  <c r="F31" i="21"/>
  <c r="J31" i="21" s="1"/>
  <c r="H31" i="21"/>
  <c r="L31" i="21" s="1"/>
  <c r="G31" i="21"/>
  <c r="K31" i="21" s="1"/>
  <c r="H27" i="25"/>
  <c r="J27" i="25" s="1"/>
  <c r="K27" i="25" s="1"/>
  <c r="H36" i="26"/>
  <c r="J36" i="26" s="1"/>
  <c r="K36" i="26" s="1"/>
  <c r="H46" i="26"/>
  <c r="J46" i="26" s="1"/>
  <c r="K46" i="26" s="1"/>
  <c r="G66" i="17"/>
  <c r="K66" i="17" s="1"/>
  <c r="H66" i="17"/>
  <c r="L66" i="17" s="1"/>
  <c r="F66" i="17"/>
  <c r="J66" i="17" s="1"/>
  <c r="E66" i="17"/>
  <c r="I66" i="17" s="1"/>
  <c r="F72" i="8"/>
  <c r="J72" i="8" s="1"/>
  <c r="E72" i="8"/>
  <c r="I72" i="8" s="1"/>
  <c r="G72" i="8"/>
  <c r="K72" i="8" s="1"/>
  <c r="H72" i="8"/>
  <c r="L72" i="8" s="1"/>
  <c r="H17" i="17"/>
  <c r="L17" i="17" s="1"/>
  <c r="G17" i="17"/>
  <c r="K17" i="17" s="1"/>
  <c r="F17" i="17"/>
  <c r="J17" i="17" s="1"/>
  <c r="E17" i="17"/>
  <c r="I17" i="17" s="1"/>
  <c r="G25" i="20"/>
  <c r="K25" i="20" s="1"/>
  <c r="E25" i="20"/>
  <c r="I25" i="20" s="1"/>
  <c r="H25" i="20"/>
  <c r="L25" i="20" s="1"/>
  <c r="F25" i="20"/>
  <c r="J25" i="20" s="1"/>
  <c r="H29" i="26"/>
  <c r="J29" i="26" s="1"/>
  <c r="K29" i="26" s="1"/>
  <c r="F41" i="20"/>
  <c r="J41" i="20" s="1"/>
  <c r="E41" i="20"/>
  <c r="I41" i="20" s="1"/>
  <c r="H41" i="20"/>
  <c r="L41" i="20" s="1"/>
  <c r="G41" i="20"/>
  <c r="K41" i="20" s="1"/>
  <c r="H48" i="8"/>
  <c r="L48" i="8" s="1"/>
  <c r="E48" i="8"/>
  <c r="I48" i="8" s="1"/>
  <c r="F48" i="8"/>
  <c r="J48" i="8" s="1"/>
  <c r="G48" i="8"/>
  <c r="K48" i="8" s="1"/>
  <c r="F57" i="8"/>
  <c r="J57" i="8" s="1"/>
  <c r="E57" i="8"/>
  <c r="I57" i="8" s="1"/>
  <c r="H57" i="8"/>
  <c r="L57" i="8" s="1"/>
  <c r="G57" i="8"/>
  <c r="K57" i="8" s="1"/>
  <c r="F74" i="17"/>
  <c r="J74" i="17" s="1"/>
  <c r="E74" i="17"/>
  <c r="I74" i="17" s="1"/>
  <c r="G74" i="17"/>
  <c r="K74" i="17" s="1"/>
  <c r="H74" i="17"/>
  <c r="L74" i="17" s="1"/>
  <c r="F26" i="16"/>
  <c r="J26" i="16" s="1"/>
  <c r="H26" i="16"/>
  <c r="L26" i="16" s="1"/>
  <c r="E26" i="16"/>
  <c r="I26" i="16" s="1"/>
  <c r="G26" i="16"/>
  <c r="K26" i="16" s="1"/>
  <c r="H30" i="13"/>
  <c r="J30" i="13" s="1"/>
  <c r="K30" i="13" s="1"/>
  <c r="E42" i="8"/>
  <c r="I42" i="8" s="1"/>
  <c r="H42" i="8"/>
  <c r="L42" i="8" s="1"/>
  <c r="F42" i="8"/>
  <c r="J42" i="8" s="1"/>
  <c r="G42" i="8"/>
  <c r="K42" i="8" s="1"/>
  <c r="G49" i="21"/>
  <c r="K49" i="21" s="1"/>
  <c r="E49" i="21"/>
  <c r="I49" i="21" s="1"/>
  <c r="F49" i="21"/>
  <c r="J49" i="21" s="1"/>
  <c r="H49" i="21"/>
  <c r="L49" i="21" s="1"/>
  <c r="E59" i="16"/>
  <c r="I59" i="16" s="1"/>
  <c r="G59" i="16"/>
  <c r="K59" i="16" s="1"/>
  <c r="H59" i="16"/>
  <c r="L59" i="16" s="1"/>
  <c r="F59" i="16"/>
  <c r="J59" i="16" s="1"/>
  <c r="F68" i="8"/>
  <c r="J68" i="8" s="1"/>
  <c r="E68" i="8"/>
  <c r="I68" i="8" s="1"/>
  <c r="H68" i="8"/>
  <c r="L68" i="8" s="1"/>
  <c r="G68" i="8"/>
  <c r="K68" i="8" s="1"/>
  <c r="H16" i="21"/>
  <c r="L16" i="21" s="1"/>
  <c r="E16" i="21"/>
  <c r="I16" i="21" s="1"/>
  <c r="F16" i="21"/>
  <c r="J16" i="21" s="1"/>
  <c r="G16" i="21"/>
  <c r="K16" i="21" s="1"/>
  <c r="F28" i="21"/>
  <c r="J28" i="21" s="1"/>
  <c r="G28" i="21"/>
  <c r="K28" i="21" s="1"/>
  <c r="H28" i="21"/>
  <c r="L28" i="21" s="1"/>
  <c r="E28" i="21"/>
  <c r="I28" i="21" s="1"/>
  <c r="E35" i="20"/>
  <c r="I35" i="20" s="1"/>
  <c r="H35" i="20"/>
  <c r="L35" i="20" s="1"/>
  <c r="F35" i="20"/>
  <c r="J35" i="20" s="1"/>
  <c r="G35" i="20"/>
  <c r="K35" i="20" s="1"/>
  <c r="E44" i="16"/>
  <c r="I44" i="16" s="1"/>
  <c r="F44" i="16"/>
  <c r="J44" i="16" s="1"/>
  <c r="H44" i="16"/>
  <c r="L44" i="16" s="1"/>
  <c r="G44" i="16"/>
  <c r="K44" i="16" s="1"/>
  <c r="H51" i="16"/>
  <c r="L51" i="16" s="1"/>
  <c r="E51" i="16"/>
  <c r="I51" i="16" s="1"/>
  <c r="G51" i="16"/>
  <c r="K51" i="16" s="1"/>
  <c r="F51" i="16"/>
  <c r="J51" i="16" s="1"/>
  <c r="F58" i="21"/>
  <c r="J58" i="21" s="1"/>
  <c r="G58" i="21"/>
  <c r="K58" i="21" s="1"/>
  <c r="E58" i="21"/>
  <c r="I58" i="21" s="1"/>
  <c r="H58" i="21"/>
  <c r="L58" i="21" s="1"/>
  <c r="G65" i="20"/>
  <c r="K65" i="20" s="1"/>
  <c r="E65" i="20"/>
  <c r="I65" i="20" s="1"/>
  <c r="F65" i="20"/>
  <c r="J65" i="20" s="1"/>
  <c r="H65" i="20"/>
  <c r="L65" i="20" s="1"/>
  <c r="H21" i="20"/>
  <c r="L21" i="20" s="1"/>
  <c r="E21" i="20"/>
  <c r="I21" i="20" s="1"/>
  <c r="G21" i="20"/>
  <c r="K21" i="20" s="1"/>
  <c r="F21" i="20"/>
  <c r="J21" i="20" s="1"/>
  <c r="H36" i="16"/>
  <c r="L36" i="16" s="1"/>
  <c r="F36" i="16"/>
  <c r="J36" i="16" s="1"/>
  <c r="E36" i="16"/>
  <c r="I36" i="16" s="1"/>
  <c r="G36" i="16"/>
  <c r="K36" i="16" s="1"/>
  <c r="G43" i="17"/>
  <c r="K43" i="17" s="1"/>
  <c r="F43" i="17"/>
  <c r="J43" i="17" s="1"/>
  <c r="H43" i="17"/>
  <c r="L43" i="17" s="1"/>
  <c r="E43" i="17"/>
  <c r="I43" i="17" s="1"/>
  <c r="H61" i="17"/>
  <c r="L61" i="17" s="1"/>
  <c r="G61" i="17"/>
  <c r="K61" i="17" s="1"/>
  <c r="F61" i="17"/>
  <c r="J61" i="17" s="1"/>
  <c r="E61" i="17"/>
  <c r="I61" i="17" s="1"/>
  <c r="G70" i="8"/>
  <c r="K70" i="8" s="1"/>
  <c r="E70" i="8"/>
  <c r="I70" i="8" s="1"/>
  <c r="H70" i="8"/>
  <c r="L70" i="8" s="1"/>
  <c r="F70" i="8"/>
  <c r="J70" i="8" s="1"/>
  <c r="F20" i="21"/>
  <c r="J20" i="21" s="1"/>
  <c r="E20" i="21"/>
  <c r="I20" i="21" s="1"/>
  <c r="H20" i="21"/>
  <c r="L20" i="21" s="1"/>
  <c r="G20" i="21"/>
  <c r="K20" i="21" s="1"/>
  <c r="E37" i="8"/>
  <c r="I37" i="8" s="1"/>
  <c r="H37" i="8"/>
  <c r="L37" i="8" s="1"/>
  <c r="G37" i="8"/>
  <c r="K37" i="8" s="1"/>
  <c r="F37" i="8"/>
  <c r="J37" i="8" s="1"/>
  <c r="G46" i="16"/>
  <c r="K46" i="16" s="1"/>
  <c r="F46" i="16"/>
  <c r="J46" i="16" s="1"/>
  <c r="H46" i="16"/>
  <c r="L46" i="16" s="1"/>
  <c r="E46" i="16"/>
  <c r="I46" i="16" s="1"/>
  <c r="E53" i="16"/>
  <c r="I53" i="16" s="1"/>
  <c r="F53" i="16"/>
  <c r="J53" i="16" s="1"/>
  <c r="G53" i="16"/>
  <c r="K53" i="16" s="1"/>
  <c r="H53" i="16"/>
  <c r="L53" i="16" s="1"/>
  <c r="F60" i="21"/>
  <c r="J60" i="21" s="1"/>
  <c r="H60" i="21"/>
  <c r="L60" i="21" s="1"/>
  <c r="E60" i="21"/>
  <c r="I60" i="21" s="1"/>
  <c r="G60" i="21"/>
  <c r="K60" i="21" s="1"/>
  <c r="G32" i="21"/>
  <c r="K32" i="21" s="1"/>
  <c r="F32" i="21"/>
  <c r="J32" i="21" s="1"/>
  <c r="H32" i="21"/>
  <c r="L32" i="21" s="1"/>
  <c r="E32" i="21"/>
  <c r="I32" i="21" s="1"/>
  <c r="H28" i="24"/>
  <c r="J28" i="24" s="1"/>
  <c r="K28" i="24" s="1"/>
  <c r="H35" i="23"/>
  <c r="J35" i="23" s="1"/>
  <c r="K35" i="23" s="1"/>
  <c r="H41" i="26"/>
  <c r="J41" i="26" s="1"/>
  <c r="K41" i="26" s="1"/>
  <c r="H50" i="26"/>
  <c r="J50" i="26" s="1"/>
  <c r="K50" i="26" s="1"/>
  <c r="F67" i="16"/>
  <c r="J67" i="16" s="1"/>
  <c r="E67" i="16"/>
  <c r="I67" i="16" s="1"/>
  <c r="H67" i="16"/>
  <c r="L67" i="16" s="1"/>
  <c r="G67" i="16"/>
  <c r="K67" i="16" s="1"/>
  <c r="F24" i="20"/>
  <c r="J24" i="20" s="1"/>
  <c r="H24" i="20"/>
  <c r="L24" i="20" s="1"/>
  <c r="E24" i="20"/>
  <c r="I24" i="20" s="1"/>
  <c r="G24" i="20"/>
  <c r="K24" i="20" s="1"/>
  <c r="H30" i="21"/>
  <c r="L30" i="21" s="1"/>
  <c r="F30" i="21"/>
  <c r="J30" i="21" s="1"/>
  <c r="G30" i="21"/>
  <c r="K30" i="21" s="1"/>
  <c r="E30" i="21"/>
  <c r="I30" i="21" s="1"/>
  <c r="E38" i="17"/>
  <c r="I38" i="17" s="1"/>
  <c r="H38" i="17"/>
  <c r="L38" i="17" s="1"/>
  <c r="F38" i="17"/>
  <c r="J38" i="17" s="1"/>
  <c r="G38" i="17"/>
  <c r="K38" i="17" s="1"/>
  <c r="H34" i="24"/>
  <c r="J34" i="24" s="1"/>
  <c r="K34" i="24" s="1"/>
  <c r="H43" i="13"/>
  <c r="J43" i="13" s="1"/>
  <c r="K43" i="13" s="1"/>
  <c r="H62" i="17"/>
  <c r="L62" i="17" s="1"/>
  <c r="G62" i="17"/>
  <c r="K62" i="17" s="1"/>
  <c r="F62" i="17"/>
  <c r="J62" i="17" s="1"/>
  <c r="E62" i="17"/>
  <c r="I62" i="17" s="1"/>
  <c r="H71" i="8"/>
  <c r="L71" i="8" s="1"/>
  <c r="G71" i="8"/>
  <c r="K71" i="8" s="1"/>
  <c r="E71" i="8"/>
  <c r="I71" i="8" s="1"/>
  <c r="F71" i="8"/>
  <c r="J71" i="8" s="1"/>
  <c r="F18" i="20"/>
  <c r="J18" i="20" s="1"/>
  <c r="E18" i="20"/>
  <c r="I18" i="20" s="1"/>
  <c r="H18" i="20"/>
  <c r="L18" i="20" s="1"/>
  <c r="G18" i="20"/>
  <c r="K18" i="20" s="1"/>
  <c r="G31" i="16"/>
  <c r="K31" i="16" s="1"/>
  <c r="E31" i="16"/>
  <c r="I31" i="16" s="1"/>
  <c r="F31" i="16"/>
  <c r="J31" i="16" s="1"/>
  <c r="H31" i="16"/>
  <c r="L31" i="16" s="1"/>
  <c r="P42" i="7"/>
  <c r="H36" i="24"/>
  <c r="J36" i="24" s="1"/>
  <c r="K36" i="24" s="1"/>
  <c r="H46" i="25"/>
  <c r="J46" i="25" s="1"/>
  <c r="K46" i="25" s="1"/>
  <c r="E66" i="16"/>
  <c r="I66" i="16" s="1"/>
  <c r="H66" i="16"/>
  <c r="L66" i="16" s="1"/>
  <c r="G66" i="16"/>
  <c r="K66" i="16" s="1"/>
  <c r="F66" i="16"/>
  <c r="J66" i="16" s="1"/>
  <c r="F72" i="20"/>
  <c r="J72" i="20" s="1"/>
  <c r="E72" i="20"/>
  <c r="I72" i="20" s="1"/>
  <c r="H72" i="20"/>
  <c r="L72" i="20" s="1"/>
  <c r="G72" i="20"/>
  <c r="K72" i="20" s="1"/>
  <c r="H17" i="20"/>
  <c r="L17" i="20" s="1"/>
  <c r="G17" i="20"/>
  <c r="K17" i="20" s="1"/>
  <c r="F17" i="20"/>
  <c r="J17" i="20" s="1"/>
  <c r="E17" i="20"/>
  <c r="I17" i="20" s="1"/>
  <c r="G25" i="8"/>
  <c r="K25" i="8" s="1"/>
  <c r="F25" i="8"/>
  <c r="J25" i="8" s="1"/>
  <c r="E25" i="8"/>
  <c r="I25" i="8" s="1"/>
  <c r="H25" i="8"/>
  <c r="L25" i="8" s="1"/>
  <c r="H29" i="24"/>
  <c r="J29" i="24" s="1"/>
  <c r="K29" i="24" s="1"/>
  <c r="H37" i="26"/>
  <c r="J37" i="26" s="1"/>
  <c r="K37" i="26" s="1"/>
  <c r="E48" i="20"/>
  <c r="I48" i="20" s="1"/>
  <c r="F48" i="20"/>
  <c r="J48" i="20" s="1"/>
  <c r="H48" i="20"/>
  <c r="L48" i="20" s="1"/>
  <c r="G48" i="20"/>
  <c r="K48" i="20" s="1"/>
  <c r="H57" i="20"/>
  <c r="L57" i="20" s="1"/>
  <c r="F57" i="20"/>
  <c r="J57" i="20" s="1"/>
  <c r="E57" i="20"/>
  <c r="I57" i="20" s="1"/>
  <c r="G57" i="20"/>
  <c r="K57" i="20" s="1"/>
  <c r="H74" i="16"/>
  <c r="L74" i="16" s="1"/>
  <c r="F74" i="16"/>
  <c r="J74" i="16" s="1"/>
  <c r="G74" i="16"/>
  <c r="K74" i="16" s="1"/>
  <c r="E74" i="16"/>
  <c r="I74" i="16" s="1"/>
  <c r="H19" i="20"/>
  <c r="L19" i="20" s="1"/>
  <c r="G19" i="20"/>
  <c r="K19" i="20" s="1"/>
  <c r="F19" i="20"/>
  <c r="J19" i="20" s="1"/>
  <c r="E19" i="20"/>
  <c r="I19" i="20" s="1"/>
  <c r="E26" i="8"/>
  <c r="I26" i="8" s="1"/>
  <c r="H26" i="8"/>
  <c r="L26" i="8" s="1"/>
  <c r="G26" i="8"/>
  <c r="K26" i="8" s="1"/>
  <c r="F26" i="8"/>
  <c r="J26" i="8" s="1"/>
  <c r="H30" i="26"/>
  <c r="J30" i="26" s="1"/>
  <c r="K30" i="26" s="1"/>
  <c r="E42" i="20"/>
  <c r="I42" i="20" s="1"/>
  <c r="F42" i="20"/>
  <c r="J42" i="20" s="1"/>
  <c r="G42" i="20"/>
  <c r="K42" i="20" s="1"/>
  <c r="H42" i="20"/>
  <c r="L42" i="20" s="1"/>
  <c r="E49" i="8"/>
  <c r="I49" i="8" s="1"/>
  <c r="H49" i="8"/>
  <c r="L49" i="8" s="1"/>
  <c r="G49" i="8"/>
  <c r="K49" i="8" s="1"/>
  <c r="F49" i="8"/>
  <c r="J49" i="8" s="1"/>
  <c r="G59" i="21"/>
  <c r="K59" i="21" s="1"/>
  <c r="E59" i="21"/>
  <c r="I59" i="21" s="1"/>
  <c r="F59" i="21"/>
  <c r="J59" i="21" s="1"/>
  <c r="H59" i="21"/>
  <c r="L59" i="21" s="1"/>
  <c r="H68" i="20"/>
  <c r="L68" i="20" s="1"/>
  <c r="F68" i="20"/>
  <c r="J68" i="20" s="1"/>
  <c r="G68" i="20"/>
  <c r="K68" i="20" s="1"/>
  <c r="E68" i="20"/>
  <c r="I68" i="20" s="1"/>
  <c r="E16" i="8"/>
  <c r="I16" i="8" s="1"/>
  <c r="H16" i="8"/>
  <c r="L16" i="8" s="1"/>
  <c r="F16" i="8"/>
  <c r="J16" i="8" s="1"/>
  <c r="G16" i="8"/>
  <c r="K16" i="8" s="1"/>
  <c r="E44" i="17"/>
  <c r="I44" i="17" s="1"/>
  <c r="H44" i="17"/>
  <c r="L44" i="17" s="1"/>
  <c r="G44" i="17"/>
  <c r="K44" i="17" s="1"/>
  <c r="F44" i="17"/>
  <c r="J44" i="17" s="1"/>
  <c r="F28" i="16"/>
  <c r="J28" i="16" s="1"/>
  <c r="G28" i="16"/>
  <c r="K28" i="16" s="1"/>
  <c r="E28" i="16"/>
  <c r="I28" i="16" s="1"/>
  <c r="H28" i="16"/>
  <c r="L28" i="16" s="1"/>
  <c r="E44" i="8"/>
  <c r="I44" i="8" s="1"/>
  <c r="H44" i="8"/>
  <c r="L44" i="8" s="1"/>
  <c r="G44" i="8"/>
  <c r="K44" i="8" s="1"/>
  <c r="F44" i="8"/>
  <c r="J44" i="8" s="1"/>
  <c r="G51" i="21"/>
  <c r="K51" i="21" s="1"/>
  <c r="H51" i="21"/>
  <c r="L51" i="21" s="1"/>
  <c r="E51" i="21"/>
  <c r="I51" i="21" s="1"/>
  <c r="F51" i="21"/>
  <c r="J51" i="21" s="1"/>
  <c r="F58" i="8"/>
  <c r="J58" i="8" s="1"/>
  <c r="E58" i="8"/>
  <c r="I58" i="8" s="1"/>
  <c r="H58" i="8"/>
  <c r="L58" i="8" s="1"/>
  <c r="G58" i="8"/>
  <c r="K58" i="8" s="1"/>
  <c r="H27" i="17"/>
  <c r="L27" i="17" s="1"/>
  <c r="G27" i="17"/>
  <c r="K27" i="17" s="1"/>
  <c r="E27" i="17"/>
  <c r="I27" i="17" s="1"/>
  <c r="F27" i="17"/>
  <c r="J27" i="17" s="1"/>
  <c r="F36" i="8"/>
  <c r="J36" i="8" s="1"/>
  <c r="E36" i="8"/>
  <c r="I36" i="8" s="1"/>
  <c r="H36" i="8"/>
  <c r="L36" i="8" s="1"/>
  <c r="G36" i="8"/>
  <c r="K36" i="8" s="1"/>
  <c r="G43" i="16"/>
  <c r="K43" i="16" s="1"/>
  <c r="E43" i="16"/>
  <c r="I43" i="16" s="1"/>
  <c r="H43" i="16"/>
  <c r="L43" i="16" s="1"/>
  <c r="F43" i="16"/>
  <c r="J43" i="16" s="1"/>
  <c r="E52" i="17"/>
  <c r="I52" i="17" s="1"/>
  <c r="H52" i="17"/>
  <c r="L52" i="17" s="1"/>
  <c r="G52" i="17"/>
  <c r="K52" i="17" s="1"/>
  <c r="F52" i="17"/>
  <c r="J52" i="17" s="1"/>
  <c r="G61" i="16"/>
  <c r="K61" i="16" s="1"/>
  <c r="H61" i="16"/>
  <c r="L61" i="16" s="1"/>
  <c r="E61" i="16"/>
  <c r="I61" i="16" s="1"/>
  <c r="F61" i="16"/>
  <c r="J61" i="16" s="1"/>
  <c r="F70" i="20"/>
  <c r="J70" i="20" s="1"/>
  <c r="G70" i="20"/>
  <c r="K70" i="20" s="1"/>
  <c r="E70" i="20"/>
  <c r="I70" i="20" s="1"/>
  <c r="H70" i="20"/>
  <c r="L70" i="20" s="1"/>
  <c r="H20" i="20"/>
  <c r="L20" i="20" s="1"/>
  <c r="G20" i="20"/>
  <c r="K20" i="20" s="1"/>
  <c r="E20" i="20"/>
  <c r="I20" i="20" s="1"/>
  <c r="F20" i="20"/>
  <c r="J20" i="20" s="1"/>
  <c r="E37" i="20"/>
  <c r="I37" i="20" s="1"/>
  <c r="F37" i="20"/>
  <c r="J37" i="20" s="1"/>
  <c r="G37" i="20"/>
  <c r="K37" i="20" s="1"/>
  <c r="H37" i="20"/>
  <c r="L37" i="20" s="1"/>
  <c r="G46" i="21"/>
  <c r="K46" i="21" s="1"/>
  <c r="H46" i="21"/>
  <c r="L46" i="21" s="1"/>
  <c r="E46" i="21"/>
  <c r="I46" i="21" s="1"/>
  <c r="F46" i="21"/>
  <c r="J46" i="21" s="1"/>
  <c r="F53" i="21"/>
  <c r="J53" i="21" s="1"/>
  <c r="E53" i="21"/>
  <c r="I53" i="21" s="1"/>
  <c r="G53" i="21"/>
  <c r="K53" i="21" s="1"/>
  <c r="H53" i="21"/>
  <c r="L53" i="21" s="1"/>
  <c r="E60" i="8"/>
  <c r="I60" i="8" s="1"/>
  <c r="F60" i="8"/>
  <c r="J60" i="8" s="1"/>
  <c r="G60" i="8"/>
  <c r="K60" i="8" s="1"/>
  <c r="H60" i="8"/>
  <c r="L60" i="8" s="1"/>
  <c r="H32" i="16"/>
  <c r="L32" i="16" s="1"/>
  <c r="F32" i="16"/>
  <c r="J32" i="16" s="1"/>
  <c r="G32" i="16"/>
  <c r="K32" i="16" s="1"/>
  <c r="E32" i="16"/>
  <c r="I32" i="16" s="1"/>
  <c r="E39" i="17"/>
  <c r="I39" i="17" s="1"/>
  <c r="G39" i="17"/>
  <c r="K39" i="17" s="1"/>
  <c r="H39" i="17"/>
  <c r="L39" i="17" s="1"/>
  <c r="F39" i="17"/>
  <c r="J39" i="17" s="1"/>
  <c r="H35" i="24"/>
  <c r="J35" i="24" s="1"/>
  <c r="K35" i="24" s="1"/>
  <c r="H41" i="13"/>
  <c r="J41" i="13" s="1"/>
  <c r="K41" i="13" s="1"/>
  <c r="H50" i="25"/>
  <c r="J50" i="25" s="1"/>
  <c r="K50" i="25" s="1"/>
  <c r="E67" i="21"/>
  <c r="I67" i="21" s="1"/>
  <c r="G67" i="21"/>
  <c r="K67" i="21" s="1"/>
  <c r="F67" i="21"/>
  <c r="J67" i="21" s="1"/>
  <c r="H67" i="21"/>
  <c r="L67" i="21" s="1"/>
  <c r="F30" i="8"/>
  <c r="J30" i="8" s="1"/>
  <c r="E30" i="8"/>
  <c r="I30" i="8" s="1"/>
  <c r="G30" i="8"/>
  <c r="K30" i="8" s="1"/>
  <c r="H30" i="8"/>
  <c r="L30" i="8" s="1"/>
  <c r="E38" i="21"/>
  <c r="I38" i="21" s="1"/>
  <c r="H38" i="21"/>
  <c r="L38" i="21" s="1"/>
  <c r="F38" i="21"/>
  <c r="J38" i="21" s="1"/>
  <c r="G38" i="21"/>
  <c r="K38" i="21" s="1"/>
  <c r="H34" i="25"/>
  <c r="J34" i="25" s="1"/>
  <c r="K34" i="25" s="1"/>
  <c r="H43" i="25"/>
  <c r="J43" i="25" s="1"/>
  <c r="K43" i="25" s="1"/>
  <c r="G62" i="21"/>
  <c r="K62" i="21" s="1"/>
  <c r="H62" i="21"/>
  <c r="L62" i="21" s="1"/>
  <c r="E62" i="21"/>
  <c r="I62" i="21" s="1"/>
  <c r="F62" i="21"/>
  <c r="J62" i="21" s="1"/>
  <c r="F71" i="20"/>
  <c r="J71" i="20" s="1"/>
  <c r="E71" i="20"/>
  <c r="I71" i="20" s="1"/>
  <c r="H71" i="20"/>
  <c r="L71" i="20" s="1"/>
  <c r="G71" i="20"/>
  <c r="K71" i="20" s="1"/>
  <c r="E23" i="8"/>
  <c r="I23" i="8" s="1"/>
  <c r="H23" i="8"/>
  <c r="L23" i="8" s="1"/>
  <c r="F23" i="8"/>
  <c r="J23" i="8" s="1"/>
  <c r="G23" i="8"/>
  <c r="K23" i="8" s="1"/>
  <c r="G31" i="8"/>
  <c r="K31" i="8" s="1"/>
  <c r="E31" i="8"/>
  <c r="I31" i="8" s="1"/>
  <c r="F31" i="8"/>
  <c r="J31" i="8" s="1"/>
  <c r="H31" i="8"/>
  <c r="L31" i="8" s="1"/>
  <c r="H40" i="17"/>
  <c r="L40" i="17" s="1"/>
  <c r="F40" i="17"/>
  <c r="J40" i="17" s="1"/>
  <c r="E40" i="17"/>
  <c r="I40" i="17" s="1"/>
  <c r="G40" i="17"/>
  <c r="K40" i="17" s="1"/>
  <c r="H36" i="25"/>
  <c r="J36" i="25" s="1"/>
  <c r="K36" i="25" s="1"/>
  <c r="F56" i="17"/>
  <c r="J56" i="17" s="1"/>
  <c r="E56" i="17"/>
  <c r="I56" i="17" s="1"/>
  <c r="G56" i="17"/>
  <c r="K56" i="17" s="1"/>
  <c r="H56" i="17"/>
  <c r="L56" i="17" s="1"/>
  <c r="G66" i="21"/>
  <c r="K66" i="21" s="1"/>
  <c r="F66" i="21"/>
  <c r="J66" i="21" s="1"/>
  <c r="H66" i="21"/>
  <c r="L66" i="21" s="1"/>
  <c r="E66" i="21"/>
  <c r="I66" i="21" s="1"/>
  <c r="F17" i="16"/>
  <c r="J17" i="16" s="1"/>
  <c r="H17" i="16"/>
  <c r="L17" i="16" s="1"/>
  <c r="G17" i="16"/>
  <c r="K17" i="16" s="1"/>
  <c r="E17" i="16"/>
  <c r="I17" i="16" s="1"/>
  <c r="H33" i="17"/>
  <c r="L33" i="17" s="1"/>
  <c r="F33" i="17"/>
  <c r="J33" i="17" s="1"/>
  <c r="G33" i="17"/>
  <c r="K33" i="17" s="1"/>
  <c r="E33" i="17"/>
  <c r="I33" i="17" s="1"/>
  <c r="H29" i="25"/>
  <c r="J29" i="25" s="1"/>
  <c r="K29" i="25" s="1"/>
  <c r="H37" i="13"/>
  <c r="J37" i="13" s="1"/>
  <c r="K37" i="13" s="1"/>
  <c r="H44" i="13"/>
  <c r="J44" i="13" s="1"/>
  <c r="K44" i="13" s="1"/>
  <c r="H53" i="26"/>
  <c r="J53" i="26" s="1"/>
  <c r="K53" i="26" s="1"/>
  <c r="E74" i="21"/>
  <c r="I74" i="21" s="1"/>
  <c r="F74" i="21"/>
  <c r="J74" i="21" s="1"/>
  <c r="G74" i="21"/>
  <c r="K74" i="21" s="1"/>
  <c r="H74" i="21"/>
  <c r="L74" i="21" s="1"/>
  <c r="E19" i="21"/>
  <c r="I19" i="21" s="1"/>
  <c r="H19" i="21"/>
  <c r="L19" i="21" s="1"/>
  <c r="G19" i="21"/>
  <c r="K19" i="21" s="1"/>
  <c r="F19" i="21"/>
  <c r="J19" i="21" s="1"/>
  <c r="H26" i="20"/>
  <c r="L26" i="20" s="1"/>
  <c r="F26" i="20"/>
  <c r="J26" i="20" s="1"/>
  <c r="E26" i="20"/>
  <c r="I26" i="20" s="1"/>
  <c r="G26" i="20"/>
  <c r="K26" i="20" s="1"/>
  <c r="H30" i="25"/>
  <c r="J30" i="25" s="1"/>
  <c r="K30" i="25" s="1"/>
  <c r="H38" i="26"/>
  <c r="J38" i="26" s="1"/>
  <c r="K38" i="26" s="1"/>
  <c r="F49" i="20"/>
  <c r="J49" i="20" s="1"/>
  <c r="G49" i="20"/>
  <c r="K49" i="20" s="1"/>
  <c r="H49" i="20"/>
  <c r="L49" i="20" s="1"/>
  <c r="E49" i="20"/>
  <c r="I49" i="20" s="1"/>
  <c r="H59" i="8"/>
  <c r="L59" i="8" s="1"/>
  <c r="G59" i="8"/>
  <c r="K59" i="8" s="1"/>
  <c r="F59" i="8"/>
  <c r="J59" i="8" s="1"/>
  <c r="E59" i="8"/>
  <c r="I59" i="8" s="1"/>
  <c r="E73" i="17"/>
  <c r="I73" i="17" s="1"/>
  <c r="G73" i="17"/>
  <c r="K73" i="17" s="1"/>
  <c r="F73" i="17"/>
  <c r="J73" i="17" s="1"/>
  <c r="H73" i="17"/>
  <c r="L73" i="17" s="1"/>
  <c r="E16" i="20"/>
  <c r="I16" i="20" s="1"/>
  <c r="H16" i="20"/>
  <c r="L16" i="20" s="1"/>
  <c r="G16" i="20"/>
  <c r="K16" i="20" s="1"/>
  <c r="F16" i="20"/>
  <c r="J16" i="20" s="1"/>
  <c r="F16" i="17"/>
  <c r="J16" i="17" s="1"/>
  <c r="H16" i="17"/>
  <c r="L16" i="17" s="1"/>
  <c r="E16" i="17"/>
  <c r="I16" i="17" s="1"/>
  <c r="G16" i="17"/>
  <c r="K16" i="17" s="1"/>
  <c r="E28" i="8"/>
  <c r="I28" i="8" s="1"/>
  <c r="H28" i="8"/>
  <c r="L28" i="8" s="1"/>
  <c r="F28" i="8"/>
  <c r="J28" i="8" s="1"/>
  <c r="G28" i="8"/>
  <c r="K28" i="8" s="1"/>
  <c r="E44" i="20"/>
  <c r="I44" i="20" s="1"/>
  <c r="G44" i="20"/>
  <c r="K44" i="20" s="1"/>
  <c r="F44" i="20"/>
  <c r="J44" i="20" s="1"/>
  <c r="H44" i="20"/>
  <c r="L44" i="20" s="1"/>
  <c r="E51" i="8"/>
  <c r="I51" i="8" s="1"/>
  <c r="H51" i="8"/>
  <c r="L51" i="8" s="1"/>
  <c r="F51" i="8"/>
  <c r="J51" i="8" s="1"/>
  <c r="G51" i="8"/>
  <c r="K51" i="8" s="1"/>
  <c r="F58" i="20"/>
  <c r="J58" i="20" s="1"/>
  <c r="G58" i="20"/>
  <c r="K58" i="20" s="1"/>
  <c r="H58" i="20"/>
  <c r="L58" i="20" s="1"/>
  <c r="E58" i="20"/>
  <c r="I58" i="20" s="1"/>
  <c r="F27" i="21"/>
  <c r="J27" i="21" s="1"/>
  <c r="E27" i="21"/>
  <c r="I27" i="21" s="1"/>
  <c r="H27" i="21"/>
  <c r="L27" i="21" s="1"/>
  <c r="G27" i="21"/>
  <c r="K27" i="21" s="1"/>
  <c r="H36" i="20"/>
  <c r="L36" i="20" s="1"/>
  <c r="G36" i="20"/>
  <c r="K36" i="20" s="1"/>
  <c r="F36" i="20"/>
  <c r="J36" i="20" s="1"/>
  <c r="E36" i="20"/>
  <c r="I36" i="20" s="1"/>
  <c r="F43" i="21"/>
  <c r="J43" i="21" s="1"/>
  <c r="G43" i="21"/>
  <c r="K43" i="21" s="1"/>
  <c r="E43" i="21"/>
  <c r="I43" i="21" s="1"/>
  <c r="H43" i="21"/>
  <c r="L43" i="21" s="1"/>
  <c r="E52" i="16"/>
  <c r="I52" i="16" s="1"/>
  <c r="F52" i="16"/>
  <c r="J52" i="16" s="1"/>
  <c r="H52" i="16"/>
  <c r="L52" i="16" s="1"/>
  <c r="G52" i="16"/>
  <c r="K52" i="16" s="1"/>
  <c r="F61" i="21"/>
  <c r="J61" i="21" s="1"/>
  <c r="E61" i="21"/>
  <c r="I61" i="21" s="1"/>
  <c r="H61" i="21"/>
  <c r="L61" i="21" s="1"/>
  <c r="G61" i="21"/>
  <c r="K61" i="21" s="1"/>
  <c r="F29" i="17"/>
  <c r="J29" i="17" s="1"/>
  <c r="H29" i="17"/>
  <c r="L29" i="17" s="1"/>
  <c r="G29" i="17"/>
  <c r="K29" i="17" s="1"/>
  <c r="E29" i="17"/>
  <c r="I29" i="17" s="1"/>
  <c r="H29" i="20"/>
  <c r="L29" i="20" s="1"/>
  <c r="E29" i="20"/>
  <c r="I29" i="20" s="1"/>
  <c r="F29" i="20"/>
  <c r="J29" i="20" s="1"/>
  <c r="G29" i="20"/>
  <c r="K29" i="20" s="1"/>
  <c r="H33" i="13"/>
  <c r="J33" i="13" s="1"/>
  <c r="K33" i="13" s="1"/>
  <c r="G46" i="8"/>
  <c r="K46" i="8" s="1"/>
  <c r="E46" i="8"/>
  <c r="I46" i="8" s="1"/>
  <c r="H46" i="8"/>
  <c r="L46" i="8" s="1"/>
  <c r="F46" i="8"/>
  <c r="J46" i="8" s="1"/>
  <c r="F53" i="8"/>
  <c r="J53" i="8" s="1"/>
  <c r="H53" i="8"/>
  <c r="L53" i="8" s="1"/>
  <c r="E53" i="8"/>
  <c r="I53" i="8" s="1"/>
  <c r="G53" i="8"/>
  <c r="K53" i="8" s="1"/>
  <c r="G60" i="20"/>
  <c r="K60" i="20" s="1"/>
  <c r="F60" i="20"/>
  <c r="J60" i="20" s="1"/>
  <c r="H60" i="20"/>
  <c r="L60" i="20" s="1"/>
  <c r="E60" i="20"/>
  <c r="I60" i="20" s="1"/>
  <c r="H22" i="8"/>
  <c r="L22" i="8" s="1"/>
  <c r="G22" i="8"/>
  <c r="K22" i="8" s="1"/>
  <c r="E22" i="8"/>
  <c r="I22" i="8" s="1"/>
  <c r="F22" i="8"/>
  <c r="J22" i="8" s="1"/>
  <c r="G32" i="8"/>
  <c r="K32" i="8" s="1"/>
  <c r="E32" i="8"/>
  <c r="I32" i="8" s="1"/>
  <c r="H32" i="8"/>
  <c r="L32" i="8" s="1"/>
  <c r="F32" i="8"/>
  <c r="J32" i="8" s="1"/>
  <c r="E39" i="16"/>
  <c r="I39" i="16" s="1"/>
  <c r="H39" i="16"/>
  <c r="L39" i="16" s="1"/>
  <c r="F39" i="16"/>
  <c r="J39" i="16" s="1"/>
  <c r="G39" i="16"/>
  <c r="K39" i="16" s="1"/>
  <c r="H35" i="25"/>
  <c r="J35" i="25" s="1"/>
  <c r="K35" i="25" s="1"/>
  <c r="H41" i="25"/>
  <c r="J41" i="25" s="1"/>
  <c r="K41" i="25" s="1"/>
  <c r="G64" i="17"/>
  <c r="K64" i="17" s="1"/>
  <c r="E64" i="17"/>
  <c r="I64" i="17" s="1"/>
  <c r="F64" i="17"/>
  <c r="J64" i="17" s="1"/>
  <c r="H64" i="17"/>
  <c r="L64" i="17" s="1"/>
  <c r="E67" i="8"/>
  <c r="I67" i="8" s="1"/>
  <c r="G67" i="8"/>
  <c r="K67" i="8" s="1"/>
  <c r="H67" i="8"/>
  <c r="L67" i="8" s="1"/>
  <c r="F67" i="8"/>
  <c r="J67" i="8" s="1"/>
  <c r="F30" i="20"/>
  <c r="J30" i="20" s="1"/>
  <c r="H30" i="20"/>
  <c r="L30" i="20" s="1"/>
  <c r="E30" i="20"/>
  <c r="I30" i="20" s="1"/>
  <c r="G30" i="20"/>
  <c r="K30" i="20" s="1"/>
  <c r="F38" i="16"/>
  <c r="J38" i="16" s="1"/>
  <c r="H38" i="16"/>
  <c r="L38" i="16" s="1"/>
  <c r="G38" i="16"/>
  <c r="K38" i="16" s="1"/>
  <c r="E38" i="16"/>
  <c r="I38" i="16" s="1"/>
  <c r="E47" i="17"/>
  <c r="I47" i="17" s="1"/>
  <c r="H47" i="17"/>
  <c r="L47" i="17" s="1"/>
  <c r="G47" i="17"/>
  <c r="K47" i="17" s="1"/>
  <c r="F47" i="17"/>
  <c r="J47" i="17" s="1"/>
  <c r="G55" i="17"/>
  <c r="K55" i="17" s="1"/>
  <c r="E55" i="17"/>
  <c r="I55" i="17" s="1"/>
  <c r="F55" i="17"/>
  <c r="J55" i="17" s="1"/>
  <c r="H55" i="17"/>
  <c r="L55" i="17" s="1"/>
  <c r="F62" i="16"/>
  <c r="J62" i="16" s="1"/>
  <c r="E62" i="16"/>
  <c r="I62" i="16" s="1"/>
  <c r="G62" i="16"/>
  <c r="K62" i="16" s="1"/>
  <c r="H62" i="16"/>
  <c r="L62" i="16" s="1"/>
  <c r="E23" i="16"/>
  <c r="I23" i="16" s="1"/>
  <c r="F23" i="16"/>
  <c r="J23" i="16" s="1"/>
  <c r="G23" i="16"/>
  <c r="K23" i="16" s="1"/>
  <c r="H23" i="16"/>
  <c r="L23" i="16" s="1"/>
  <c r="D31" i="20"/>
  <c r="D21" i="22"/>
  <c r="D22" i="22" s="1"/>
  <c r="G40" i="21"/>
  <c r="K40" i="21" s="1"/>
  <c r="E40" i="21"/>
  <c r="I40" i="21" s="1"/>
  <c r="F40" i="21"/>
  <c r="J40" i="21" s="1"/>
  <c r="H40" i="21"/>
  <c r="L40" i="21" s="1"/>
  <c r="H50" i="17"/>
  <c r="L50" i="17" s="1"/>
  <c r="E50" i="17"/>
  <c r="I50" i="17" s="1"/>
  <c r="G50" i="17"/>
  <c r="K50" i="17" s="1"/>
  <c r="F50" i="17"/>
  <c r="J50" i="17" s="1"/>
  <c r="F56" i="21"/>
  <c r="J56" i="21" s="1"/>
  <c r="G56" i="21"/>
  <c r="K56" i="21" s="1"/>
  <c r="H56" i="21"/>
  <c r="L56" i="21" s="1"/>
  <c r="E56" i="21"/>
  <c r="I56" i="21" s="1"/>
  <c r="E66" i="8"/>
  <c r="I66" i="8" s="1"/>
  <c r="H66" i="8"/>
  <c r="L66" i="8" s="1"/>
  <c r="F66" i="8"/>
  <c r="J66" i="8" s="1"/>
  <c r="G66" i="8"/>
  <c r="K66" i="8" s="1"/>
  <c r="H17" i="8"/>
  <c r="L17" i="8" s="1"/>
  <c r="G17" i="8"/>
  <c r="K17" i="8" s="1"/>
  <c r="F17" i="8"/>
  <c r="J17" i="8" s="1"/>
  <c r="E17" i="8"/>
  <c r="I17" i="8" s="1"/>
  <c r="G33" i="21"/>
  <c r="K33" i="21" s="1"/>
  <c r="E33" i="21"/>
  <c r="I33" i="21" s="1"/>
  <c r="H33" i="21"/>
  <c r="L33" i="21" s="1"/>
  <c r="F33" i="21"/>
  <c r="J33" i="21" s="1"/>
  <c r="H29" i="23"/>
  <c r="J29" i="23" s="1"/>
  <c r="K29" i="23" s="1"/>
  <c r="H37" i="24"/>
  <c r="J37" i="24" s="1"/>
  <c r="K37" i="24" s="1"/>
  <c r="H44" i="26"/>
  <c r="J44" i="26" s="1"/>
  <c r="K44" i="26" s="1"/>
  <c r="G63" i="17"/>
  <c r="K63" i="17" s="1"/>
  <c r="E63" i="17"/>
  <c r="I63" i="17" s="1"/>
  <c r="H63" i="17"/>
  <c r="L63" i="17" s="1"/>
  <c r="F63" i="17"/>
  <c r="J63" i="17" s="1"/>
  <c r="F74" i="8"/>
  <c r="J74" i="8" s="1"/>
  <c r="G74" i="8"/>
  <c r="K74" i="8" s="1"/>
  <c r="H74" i="8"/>
  <c r="L74" i="8" s="1"/>
  <c r="E74" i="8"/>
  <c r="I74" i="8" s="1"/>
  <c r="E19" i="16"/>
  <c r="I19" i="16" s="1"/>
  <c r="G19" i="16"/>
  <c r="K19" i="16" s="1"/>
  <c r="H19" i="16"/>
  <c r="L19" i="16" s="1"/>
  <c r="F19" i="16"/>
  <c r="J19" i="16" s="1"/>
  <c r="E34" i="17"/>
  <c r="I34" i="17" s="1"/>
  <c r="F34" i="17"/>
  <c r="J34" i="17" s="1"/>
  <c r="H34" i="17"/>
  <c r="L34" i="17" s="1"/>
  <c r="G34" i="17"/>
  <c r="K34" i="17" s="1"/>
  <c r="A34" i="17"/>
  <c r="H30" i="24"/>
  <c r="J30" i="24" s="1"/>
  <c r="K30" i="24" s="1"/>
  <c r="H38" i="13"/>
  <c r="J38" i="13" s="1"/>
  <c r="K38" i="13" s="1"/>
  <c r="H45" i="26"/>
  <c r="J45" i="26" s="1"/>
  <c r="K45" i="26" s="1"/>
  <c r="F59" i="20"/>
  <c r="J59" i="20" s="1"/>
  <c r="H59" i="20"/>
  <c r="L59" i="20" s="1"/>
  <c r="G59" i="20"/>
  <c r="K59" i="20" s="1"/>
  <c r="E59" i="20"/>
  <c r="I59" i="20" s="1"/>
  <c r="H73" i="21"/>
  <c r="L73" i="21" s="1"/>
  <c r="F73" i="21"/>
  <c r="J73" i="21" s="1"/>
  <c r="E73" i="21"/>
  <c r="I73" i="21" s="1"/>
  <c r="G73" i="21"/>
  <c r="K73" i="21" s="1"/>
  <c r="AA2" i="22" l="1"/>
  <c r="J18" i="27"/>
  <c r="AA3" i="22"/>
  <c r="AA5" i="22"/>
  <c r="D40" i="22" s="1"/>
  <c r="AA4" i="22"/>
  <c r="J16" i="27"/>
  <c r="H31" i="20"/>
  <c r="L31" i="20" s="1"/>
  <c r="G31" i="20"/>
  <c r="K31" i="20" s="1"/>
  <c r="F31" i="20"/>
  <c r="J31" i="20" s="1"/>
  <c r="E31" i="20"/>
  <c r="I31" i="20" s="1"/>
  <c r="D42" i="22" l="1"/>
  <c r="J19" i="27"/>
  <c r="J21" i="27" s="1"/>
  <c r="C32" i="27" l="1"/>
  <c r="C31" i="27" l="1"/>
  <c r="C30" i="27"/>
  <c r="C33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juane</author>
  </authors>
  <commentList>
    <comment ref="E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juane:</t>
        </r>
        <r>
          <rPr>
            <sz val="9"/>
            <color indexed="81"/>
            <rFont val="Tahoma"/>
            <family val="2"/>
          </rPr>
          <t xml:space="preserve">
M=Mujer
H=Hombre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juane</author>
  </authors>
  <commentList>
    <comment ref="E1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juane:</t>
        </r>
        <r>
          <rPr>
            <sz val="9"/>
            <color indexed="81"/>
            <rFont val="Tahoma"/>
            <family val="2"/>
          </rPr>
          <t xml:space="preserve">
0% NO FUMADOR
DESDE EL 10% HASTA EL 100% SEGÚN POLITICA DE SUSCRIPCIÓN.</t>
        </r>
      </text>
    </comment>
  </commentList>
</comments>
</file>

<file path=xl/sharedStrings.xml><?xml version="1.0" encoding="utf-8"?>
<sst xmlns="http://schemas.openxmlformats.org/spreadsheetml/2006/main" count="400" uniqueCount="191">
  <si>
    <t>INTERES  TÉCNICO  UTILIZADO EN CONMUTACIÓN    :</t>
  </si>
  <si>
    <t>EDAD</t>
  </si>
  <si>
    <t>Lx</t>
  </si>
  <si>
    <t>Mx</t>
  </si>
  <si>
    <t>MENSUAL</t>
  </si>
  <si>
    <t>TRIMESTRAL</t>
  </si>
  <si>
    <t>SEMESTRAL</t>
  </si>
  <si>
    <t>ANUAL</t>
  </si>
  <si>
    <t>RECARGOS POR PAGO FRACCIONADO:</t>
  </si>
  <si>
    <t>FORMA  DE  PAGO  DE LAS PRIMAS     :</t>
  </si>
  <si>
    <t>qx100%</t>
  </si>
  <si>
    <t>qx(T)</t>
  </si>
  <si>
    <t>dx(T)</t>
  </si>
  <si>
    <t>Dx(T)</t>
  </si>
  <si>
    <t>Cx(T)</t>
  </si>
  <si>
    <t>PRIMAS POR MILLAR  DE  SUMA ASEGURADA</t>
  </si>
  <si>
    <t>PRIMAS ANUALES  RECARGADAS POR FRACCIONAMIENTO</t>
  </si>
  <si>
    <t>AÑOS</t>
  </si>
  <si>
    <t>ANEXO No.1</t>
  </si>
  <si>
    <t xml:space="preserve"> PRIMAS NETAS</t>
  </si>
  <si>
    <t>P . COMERCIAL</t>
  </si>
  <si>
    <t>CAPITAL ASEGURADO                  :</t>
  </si>
  <si>
    <t>TEMPORALIDAD DEL SEGURO:</t>
  </si>
  <si>
    <t>SEXO             :</t>
  </si>
  <si>
    <t>Nx(T)</t>
  </si>
  <si>
    <t xml:space="preserve">CAPITAL  ASEGURADO </t>
  </si>
  <si>
    <t>:</t>
  </si>
  <si>
    <t>SEXO</t>
  </si>
  <si>
    <t>EDAD INICIAL</t>
  </si>
  <si>
    <t xml:space="preserve">FORMULA </t>
  </si>
  <si>
    <t>AÑO PÓLIZA</t>
  </si>
  <si>
    <t>X+t</t>
  </si>
  <si>
    <t>V. RESCATE</t>
  </si>
  <si>
    <t>TEMPORALIDAD DEL SEGURO</t>
  </si>
  <si>
    <t>TABLA (ANEXO No.1)</t>
  </si>
  <si>
    <t>FACTORES DE RESERVAS TERMINALES Y VALORES DE RESCATE POR MILLAR DE SUMA ASEGURADA - SEGURO TEMPORAL</t>
  </si>
  <si>
    <t>tVx:n</t>
  </si>
  <si>
    <t>SEG. SALDADO</t>
  </si>
  <si>
    <r>
      <t>PRIMAS POR  EDADES  DEL SEGURO TEMPORAL A 20 A</t>
    </r>
    <r>
      <rPr>
        <b/>
        <sz val="12"/>
        <rFont val="Calibri"/>
        <family val="2"/>
      </rPr>
      <t>Ň</t>
    </r>
    <r>
      <rPr>
        <b/>
        <sz val="12"/>
        <rFont val="Arial"/>
        <family val="2"/>
      </rPr>
      <t>OS PLAZO</t>
    </r>
  </si>
  <si>
    <r>
      <t>PRIMAS POR  EDADES  DEL SEGURO TEMPORAL A 10 A</t>
    </r>
    <r>
      <rPr>
        <b/>
        <sz val="12"/>
        <rFont val="Calibri"/>
        <family val="2"/>
      </rPr>
      <t>Ň</t>
    </r>
    <r>
      <rPr>
        <b/>
        <sz val="12"/>
        <rFont val="Arial"/>
        <family val="2"/>
      </rPr>
      <t>OS PLAZO</t>
    </r>
  </si>
  <si>
    <r>
      <t>PRIMAS POR  EDADES  DEL SEGURO TEMPORAL A 15 A</t>
    </r>
    <r>
      <rPr>
        <b/>
        <sz val="12"/>
        <rFont val="Calibri"/>
        <family val="2"/>
      </rPr>
      <t>Ň</t>
    </r>
    <r>
      <rPr>
        <b/>
        <sz val="12"/>
        <rFont val="Arial"/>
        <family val="2"/>
      </rPr>
      <t>OS PLAZO</t>
    </r>
  </si>
  <si>
    <t>ANEXO No.3</t>
  </si>
  <si>
    <t>ANEXO No.4</t>
  </si>
  <si>
    <t>ANEXO No.5</t>
  </si>
  <si>
    <r>
      <t>PRIMAS POR  EDADES  DEL SEGURO TEMPORAL A 25 A</t>
    </r>
    <r>
      <rPr>
        <b/>
        <sz val="12"/>
        <rFont val="Calibri"/>
        <family val="2"/>
      </rPr>
      <t>Ň</t>
    </r>
    <r>
      <rPr>
        <b/>
        <sz val="12"/>
        <rFont val="Arial"/>
        <family val="2"/>
      </rPr>
      <t>OS PLAZO</t>
    </r>
  </si>
  <si>
    <r>
      <t>PRIMAS POR  EDADES  DEL SEGURO TEMPORAL A 30 A</t>
    </r>
    <r>
      <rPr>
        <b/>
        <sz val="12"/>
        <rFont val="Calibri"/>
        <family val="2"/>
      </rPr>
      <t>Ň</t>
    </r>
    <r>
      <rPr>
        <b/>
        <sz val="12"/>
        <rFont val="Arial"/>
        <family val="2"/>
      </rPr>
      <t>OS PLAZO</t>
    </r>
  </si>
  <si>
    <t>ANEXO No.2</t>
  </si>
  <si>
    <t>ANEXO No. 6</t>
  </si>
  <si>
    <t>ANEXO  No.7</t>
  </si>
  <si>
    <t>qx(100%)</t>
  </si>
  <si>
    <t>qx(60%)</t>
  </si>
  <si>
    <t xml:space="preserve">TABLA DE MORTALIDAD CSO. 2001 </t>
  </si>
  <si>
    <t>H</t>
  </si>
  <si>
    <t>M25</t>
  </si>
  <si>
    <t>M27</t>
  </si>
  <si>
    <t>N45</t>
  </si>
  <si>
    <t>M45</t>
  </si>
  <si>
    <t>N25</t>
  </si>
  <si>
    <t>N27</t>
  </si>
  <si>
    <t>D27</t>
  </si>
  <si>
    <t>D25</t>
  </si>
  <si>
    <t>PRIMA=</t>
  </si>
  <si>
    <t>RVA 1</t>
  </si>
  <si>
    <t>RVA2</t>
  </si>
  <si>
    <t>RVA T</t>
  </si>
  <si>
    <t>ATLANTIDA VIDA, S.A. SEGUROS DE PERSONAS</t>
  </si>
  <si>
    <t>ATLÁNTIDA VIDA, S.A. SEGUROS DE PERSONAS</t>
  </si>
  <si>
    <t>FUMADOR</t>
  </si>
  <si>
    <t>FUMADOR :</t>
  </si>
  <si>
    <t>PRIMA DE RIESGO :</t>
  </si>
  <si>
    <t>RECARGOS :</t>
  </si>
  <si>
    <t>SUMA ASEGURADA :</t>
  </si>
  <si>
    <t>PRIMA COMERCIAL :</t>
  </si>
  <si>
    <t>FORMA DE PAGO  :</t>
  </si>
  <si>
    <t>PAGO FRACCIONADO  :</t>
  </si>
  <si>
    <t>EDAD DEL ASEGURADO   :</t>
  </si>
  <si>
    <t>MUJER</t>
  </si>
  <si>
    <t>HOMBRE</t>
  </si>
  <si>
    <t>NOTA : ESTOS FACTORES CON LA MISMA LÓGICA</t>
  </si>
  <si>
    <t>DE LA TEMPORALIDAD DE 25 SE DEBEN OBTENER LOS FACTORES</t>
  </si>
  <si>
    <t>PARA LA TEMPORALIDAD 10, 15, 25 Y 30 AÑOS</t>
  </si>
  <si>
    <t>SI</t>
  </si>
  <si>
    <t>NO</t>
  </si>
  <si>
    <t>NO FUMADOR</t>
  </si>
  <si>
    <t>INVALIDEZ TOTAL Y PERMANENTE  :</t>
  </si>
  <si>
    <t>MUERTE ACCIDENTAL Y DESMEMBRAMIENTO  :</t>
  </si>
  <si>
    <t>FECHA DE NACIMIENTO (DD/MM/AA)  :</t>
  </si>
  <si>
    <t>OFERTA DE SEGURO TEMPORAL DE VIDA INDIVIDUAL</t>
  </si>
  <si>
    <t>SOLICITANTE  :</t>
  </si>
  <si>
    <t>SOLICITANTE:</t>
  </si>
  <si>
    <t>SUMA ASEGURADA:</t>
  </si>
  <si>
    <t>FECHA DE NACIMIENTO:</t>
  </si>
  <si>
    <t>EDAD:</t>
  </si>
  <si>
    <t>GÉNERO:</t>
  </si>
  <si>
    <t>TIPO DE RIESGO:</t>
  </si>
  <si>
    <t>PLAZO DEL SEGURO:</t>
  </si>
  <si>
    <t>COBERTURAS:</t>
  </si>
  <si>
    <t>SUMA ASEGURADA BÁSICA:</t>
  </si>
  <si>
    <t>GASTOS FUNERARIOS:</t>
  </si>
  <si>
    <t>DOBLE INDEMNIZACIÓN POR MUERTE ACCIDENTAL:</t>
  </si>
  <si>
    <t>TOTAL:</t>
  </si>
  <si>
    <t>PAGO ANTICIPADO POR INVALIDEZ TOTAL Y PERMANENTE:</t>
  </si>
  <si>
    <t>PRIMA:</t>
  </si>
  <si>
    <t>REQUISITOS DE ASEGURABILIDAD</t>
  </si>
  <si>
    <t>Requisitos de asegurabilidad</t>
  </si>
  <si>
    <t>Examén Médico</t>
  </si>
  <si>
    <t>Análisis de Orina</t>
  </si>
  <si>
    <t>Examén de Sangre</t>
  </si>
  <si>
    <t>PSA (Hombres)</t>
  </si>
  <si>
    <t>Rx de Torax</t>
  </si>
  <si>
    <t>Declaración de salud</t>
  </si>
  <si>
    <t>FORMA DE PAGO</t>
  </si>
  <si>
    <t>FORMA DE PAGO (Incluye gastos e impuestos)</t>
  </si>
  <si>
    <t>CESIÓN DE DERECHOS</t>
  </si>
  <si>
    <t>Si usted acepta la presente cotización, favor devolver los siguientes documentos completos y firmados:</t>
  </si>
  <si>
    <t>1. Solicitud de seguro y declaración de salud</t>
  </si>
  <si>
    <t>2. Ficha Integral</t>
  </si>
  <si>
    <t>3. Declaración Jurada</t>
  </si>
  <si>
    <t>Intermediario:</t>
  </si>
  <si>
    <t>Teléfono:</t>
  </si>
  <si>
    <t>Correo Electrónico:</t>
  </si>
  <si>
    <t>Nombre de empresa:</t>
  </si>
  <si>
    <t xml:space="preserve">       _____________________________</t>
  </si>
  <si>
    <t>Presentamos nuestra oferta de Seguro Temporal de Vida Individual, la cual cuenta con las siguientes características:</t>
  </si>
  <si>
    <t>GRATIS</t>
  </si>
  <si>
    <t>Temporalidad</t>
  </si>
  <si>
    <t>Muerte accidental</t>
  </si>
  <si>
    <t>ITP</t>
  </si>
  <si>
    <t>Tipo de riesgo</t>
  </si>
  <si>
    <t>Forma de pago</t>
  </si>
  <si>
    <t>Sexo</t>
  </si>
  <si>
    <t>Edad emisión</t>
  </si>
  <si>
    <t>Fecha mínima y máxima</t>
  </si>
  <si>
    <t>Fumador</t>
  </si>
  <si>
    <t>Accidente</t>
  </si>
  <si>
    <t>G. Funerarios</t>
  </si>
  <si>
    <t>Deflactores</t>
  </si>
  <si>
    <t>ANUAL:</t>
  </si>
  <si>
    <t>SEMESTRAL:</t>
  </si>
  <si>
    <t>TRIMESTRAL:</t>
  </si>
  <si>
    <t>MENSUAL:</t>
  </si>
  <si>
    <t>Mín-Max suma</t>
  </si>
  <si>
    <t>1 al 5</t>
  </si>
  <si>
    <t>Categorías tablas</t>
  </si>
  <si>
    <t>6 al 10</t>
  </si>
  <si>
    <t>11 al 15</t>
  </si>
  <si>
    <t>16 al 20</t>
  </si>
  <si>
    <t xml:space="preserve">            Firma de aceptación cliente</t>
  </si>
  <si>
    <t xml:space="preserve">               Firma de intermediario</t>
  </si>
  <si>
    <t xml:space="preserve">                Fecha de aceptación</t>
  </si>
  <si>
    <t xml:space="preserve">                    ___________________________</t>
  </si>
  <si>
    <t>INFORMACIÓN DEL INTERMEDIARIO</t>
  </si>
  <si>
    <t>DATOS DEL PROPUESTO ASEGURADO</t>
  </si>
  <si>
    <t>GASTOS FUNERARIOS  :   (GRATIS)</t>
  </si>
  <si>
    <t>TIPO DE RIESGO  :</t>
  </si>
  <si>
    <t>COTIZADOR VIDA A TÉRMINO INDIVIDUAL</t>
  </si>
  <si>
    <t>TEMPORALIDAD DEL SEGURO (EN AÑOS) :</t>
  </si>
  <si>
    <t>GÉNERO    :</t>
  </si>
  <si>
    <t>(10% DE LA SUMA ASEGURADA HASTA UN MÁXIMO DE $2,000)</t>
  </si>
  <si>
    <t xml:space="preserve">ANUAL                         SEMESTRAL                         TRIMESTRAL                         MENSUAL   </t>
  </si>
  <si>
    <t>A favor de _______________________________________________ por valor de $_____________________________</t>
  </si>
  <si>
    <t>Atención al cliente Atlántida Vida:  (503) 2267-4570          Correo electrónico:  info@seatlan.sv</t>
  </si>
  <si>
    <t>Prima sujeta a verificación de exámen médico y análisis de suscripción</t>
  </si>
  <si>
    <t>Recargo por millar</t>
  </si>
  <si>
    <t>RECARGO POR MILLAR (USD/MILLAR):</t>
  </si>
  <si>
    <t>RECARGO</t>
  </si>
  <si>
    <t>LAB 1</t>
  </si>
  <si>
    <t>LAB 2</t>
  </si>
  <si>
    <t>ECG REPOSO</t>
  </si>
  <si>
    <t>Prueba de esfuerzo</t>
  </si>
  <si>
    <t>Examen Médico, Análisis de orina, ECG reposo, HIV, LAB 2 y Rx tórax.</t>
  </si>
  <si>
    <t>Examen Médico, Análisis de orina, ECG reposo, HIV y LAB 1.</t>
  </si>
  <si>
    <t>Examen Médico, Análisis de orina, ECG reposo y HIV.</t>
  </si>
  <si>
    <t>Declaración de Salud y HIV.</t>
  </si>
  <si>
    <t>Declaración de salud.</t>
  </si>
  <si>
    <t>Declaración de salud y Análisis de orina.</t>
  </si>
  <si>
    <t>Examen Médico, Análisis de orina y HIV.</t>
  </si>
  <si>
    <t>Examen Médico, Análisis de orina, Prueba de Esfuerzo, HIV, LAB 1 y Rx tórax.</t>
  </si>
  <si>
    <t>Examen Médico, Análisis de orina, Prueba de Esfuerzo, HIV, LAB 2 y Rx tórax.</t>
  </si>
  <si>
    <t>Exámen médico y Análisis de orina.</t>
  </si>
  <si>
    <t>Exámen médico, Análisis de orina y ECG reposo.</t>
  </si>
  <si>
    <t>Examen Médico, Análisis de orina, ECG reposo, HIV y LAB 2.</t>
  </si>
  <si>
    <t>Examen Médico, Análisis de orina, ECG reposo, HIV, LAB 1 y Rx tórax.</t>
  </si>
  <si>
    <t>Atlántida Vida S.A. Seguros de Personas</t>
  </si>
  <si>
    <t>Oficina Principal</t>
  </si>
  <si>
    <t>2267-4570</t>
  </si>
  <si>
    <t>aseguradoatlantida@seatlan.sv</t>
  </si>
  <si>
    <t>Juana Pérez</t>
  </si>
  <si>
    <t>V.02.2022</t>
  </si>
  <si>
    <t>IVD o CVD:</t>
  </si>
  <si>
    <t>Suicidio cubierto después de dos años de vigencia. Muerte Presunta cubierta según la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</si>
</sst>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#,##0.00000"/>
    <numFmt numFmtId="166" formatCode="_(&quot;$&quot;* #,##0.000_);_(&quot;$&quot;* \(#,##0.000\);_(&quot;$&quot;* &quot;-&quot;??_);_(@_)"/>
    <numFmt numFmtId="167" formatCode="[$-F800]dddd\,\ mmmm\ dd\,\ yyyy"/>
    <numFmt numFmtId="168" formatCode="&quot;$&quot;#,##0.00"/>
    <numFmt numFmtId="169" formatCode="[$-F800]dddd\,\ mmmm\ dd\,\ yyyy\.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rgb="FFC0000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4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u/>
      <sz val="10"/>
      <color theme="10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9" fontId="4" fillId="0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5" xfId="0" applyNumberFormat="1" applyBorder="1"/>
    <xf numFmtId="3" fontId="0" fillId="0" borderId="5" xfId="0" applyNumberFormat="1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7" xfId="0" applyBorder="1" applyAlignment="1">
      <alignment horizontal="center"/>
    </xf>
    <xf numFmtId="3" fontId="0" fillId="0" borderId="0" xfId="0" applyNumberFormat="1" applyBorder="1"/>
    <xf numFmtId="165" fontId="0" fillId="0" borderId="0" xfId="0" applyNumberFormat="1" applyBorder="1"/>
    <xf numFmtId="4" fontId="0" fillId="0" borderId="0" xfId="0" applyNumberFormat="1" applyBorder="1"/>
    <xf numFmtId="4" fontId="0" fillId="0" borderId="8" xfId="0" applyNumberFormat="1" applyBorder="1"/>
    <xf numFmtId="165" fontId="0" fillId="0" borderId="0" xfId="0" applyNumberFormat="1"/>
    <xf numFmtId="0" fontId="0" fillId="0" borderId="9" xfId="0" applyBorder="1" applyAlignment="1">
      <alignment horizontal="center"/>
    </xf>
    <xf numFmtId="3" fontId="0" fillId="0" borderId="10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0" xfId="0" applyNumberFormat="1"/>
    <xf numFmtId="0" fontId="2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/>
    <xf numFmtId="9" fontId="2" fillId="0" borderId="13" xfId="0" applyNumberFormat="1" applyFont="1" applyBorder="1"/>
    <xf numFmtId="9" fontId="2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9" fontId="8" fillId="0" borderId="0" xfId="0" applyNumberFormat="1" applyFont="1" applyAlignment="1">
      <alignment horizontal="center"/>
    </xf>
    <xf numFmtId="0" fontId="0" fillId="0" borderId="10" xfId="0" applyBorder="1"/>
    <xf numFmtId="0" fontId="10" fillId="0" borderId="0" xfId="0" applyFont="1"/>
    <xf numFmtId="9" fontId="2" fillId="0" borderId="0" xfId="0" applyNumberFormat="1" applyFont="1" applyFill="1"/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NumberFormat="1" applyFont="1" applyAlignment="1">
      <alignment horizontal="center"/>
    </xf>
    <xf numFmtId="0" fontId="12" fillId="0" borderId="0" xfId="0" applyFont="1"/>
    <xf numFmtId="164" fontId="3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9" fillId="3" borderId="0" xfId="0" applyFont="1" applyFill="1" applyBorder="1" applyAlignment="1"/>
    <xf numFmtId="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0" fillId="0" borderId="0" xfId="0" applyFill="1"/>
    <xf numFmtId="0" fontId="9" fillId="0" borderId="0" xfId="0" applyFont="1" applyFill="1" applyBorder="1" applyAlignment="1"/>
    <xf numFmtId="164" fontId="6" fillId="0" borderId="0" xfId="0" applyNumberFormat="1" applyFont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3" xfId="0" applyFont="1" applyFill="1" applyBorder="1"/>
    <xf numFmtId="0" fontId="6" fillId="4" borderId="13" xfId="0" applyFont="1" applyFill="1" applyBorder="1"/>
    <xf numFmtId="164" fontId="21" fillId="0" borderId="0" xfId="0" applyNumberFormat="1" applyFont="1" applyAlignment="1"/>
    <xf numFmtId="0" fontId="21" fillId="0" borderId="0" xfId="0" applyFont="1"/>
    <xf numFmtId="14" fontId="0" fillId="0" borderId="0" xfId="0" applyNumberFormat="1"/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/>
    <xf numFmtId="165" fontId="0" fillId="0" borderId="0" xfId="0" applyNumberFormat="1" applyFill="1" applyBorder="1"/>
    <xf numFmtId="165" fontId="0" fillId="0" borderId="10" xfId="0" applyNumberFormat="1" applyBorder="1"/>
    <xf numFmtId="164" fontId="0" fillId="0" borderId="0" xfId="1" applyFont="1"/>
    <xf numFmtId="164" fontId="0" fillId="0" borderId="0" xfId="0" applyNumberFormat="1" applyFill="1" applyBorder="1"/>
    <xf numFmtId="164" fontId="0" fillId="0" borderId="0" xfId="1" applyFont="1" applyAlignment="1">
      <alignment horizontal="center"/>
    </xf>
    <xf numFmtId="164" fontId="0" fillId="0" borderId="0" xfId="1" applyFont="1" applyAlignment="1"/>
    <xf numFmtId="0" fontId="21" fillId="0" borderId="0" xfId="0" applyFont="1" applyAlignment="1">
      <alignment horizontal="center"/>
    </xf>
    <xf numFmtId="0" fontId="22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3" fillId="0" borderId="0" xfId="0" applyFont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9" fontId="25" fillId="0" borderId="0" xfId="0" applyNumberFormat="1" applyFont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6" fillId="0" borderId="0" xfId="0" applyFont="1"/>
    <xf numFmtId="9" fontId="0" fillId="0" borderId="0" xfId="0" applyNumberFormat="1"/>
    <xf numFmtId="44" fontId="0" fillId="0" borderId="0" xfId="0" applyNumberFormat="1"/>
    <xf numFmtId="166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Protection="1"/>
    <xf numFmtId="164" fontId="20" fillId="6" borderId="0" xfId="1" applyFont="1" applyFill="1" applyProtection="1">
      <protection locked="0"/>
    </xf>
    <xf numFmtId="0" fontId="0" fillId="6" borderId="0" xfId="0" applyFill="1" applyProtection="1">
      <protection locked="0"/>
    </xf>
    <xf numFmtId="0" fontId="16" fillId="6" borderId="0" xfId="0" applyFont="1" applyFill="1" applyAlignment="1" applyProtection="1">
      <alignment horizontal="center"/>
      <protection locked="0"/>
    </xf>
    <xf numFmtId="164" fontId="2" fillId="7" borderId="0" xfId="1" applyFont="1" applyFill="1"/>
    <xf numFmtId="167" fontId="0" fillId="0" borderId="0" xfId="0" applyNumberFormat="1" applyAlignment="1"/>
    <xf numFmtId="167" fontId="0" fillId="0" borderId="0" xfId="0" applyNumberFormat="1"/>
    <xf numFmtId="164" fontId="16" fillId="0" borderId="0" xfId="0" applyNumberFormat="1" applyFont="1" applyFill="1"/>
    <xf numFmtId="0" fontId="0" fillId="4" borderId="0" xfId="0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13" fillId="0" borderId="0" xfId="0" applyFont="1" applyFill="1" applyAlignment="1"/>
    <xf numFmtId="0" fontId="0" fillId="8" borderId="0" xfId="0" applyFill="1"/>
    <xf numFmtId="0" fontId="16" fillId="8" borderId="0" xfId="0" applyFont="1" applyFill="1" applyAlignment="1"/>
    <xf numFmtId="0" fontId="2" fillId="0" borderId="0" xfId="0" applyFont="1" applyFill="1"/>
    <xf numFmtId="0" fontId="28" fillId="10" borderId="13" xfId="0" applyFont="1" applyFill="1" applyBorder="1"/>
    <xf numFmtId="0" fontId="16" fillId="0" borderId="13" xfId="0" applyFont="1" applyBorder="1"/>
    <xf numFmtId="14" fontId="16" fillId="0" borderId="13" xfId="0" applyNumberFormat="1" applyFont="1" applyBorder="1"/>
    <xf numFmtId="14" fontId="0" fillId="6" borderId="0" xfId="0" applyNumberFormat="1" applyFill="1" applyProtection="1">
      <protection locked="0"/>
    </xf>
    <xf numFmtId="0" fontId="28" fillId="0" borderId="0" xfId="0" applyFont="1" applyFill="1" applyAlignment="1"/>
    <xf numFmtId="168" fontId="28" fillId="0" borderId="0" xfId="0" applyNumberFormat="1" applyFont="1" applyFill="1" applyAlignment="1"/>
    <xf numFmtId="14" fontId="21" fillId="0" borderId="0" xfId="0" applyNumberFormat="1" applyFont="1" applyFill="1" applyAlignment="1"/>
    <xf numFmtId="0" fontId="21" fillId="0" borderId="0" xfId="0" applyFont="1" applyFill="1" applyAlignment="1"/>
    <xf numFmtId="0" fontId="16" fillId="0" borderId="0" xfId="0" applyFont="1" applyFill="1"/>
    <xf numFmtId="9" fontId="16" fillId="0" borderId="13" xfId="0" applyNumberFormat="1" applyFont="1" applyBorder="1"/>
    <xf numFmtId="44" fontId="16" fillId="0" borderId="0" xfId="0" applyNumberFormat="1" applyFont="1"/>
    <xf numFmtId="16" fontId="16" fillId="0" borderId="13" xfId="0" applyNumberFormat="1" applyFont="1" applyBorder="1"/>
    <xf numFmtId="0" fontId="16" fillId="11" borderId="13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0" fontId="2" fillId="9" borderId="0" xfId="0" applyFont="1" applyFill="1" applyAlignment="1" applyProtection="1">
      <alignment horizontal="left"/>
      <protection locked="0"/>
    </xf>
    <xf numFmtId="0" fontId="29" fillId="9" borderId="0" xfId="2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/>
      <protection locked="0"/>
    </xf>
    <xf numFmtId="0" fontId="16" fillId="0" borderId="0" xfId="0" applyFont="1" applyBorder="1"/>
    <xf numFmtId="14" fontId="16" fillId="0" borderId="0" xfId="0" applyNumberFormat="1" applyFont="1"/>
    <xf numFmtId="0" fontId="30" fillId="0" borderId="0" xfId="0" applyFont="1" applyAlignment="1">
      <alignment vertical="top"/>
    </xf>
    <xf numFmtId="0" fontId="1" fillId="0" borderId="0" xfId="0" applyFont="1" applyFill="1"/>
    <xf numFmtId="0" fontId="16" fillId="8" borderId="18" xfId="0" applyFont="1" applyFill="1" applyBorder="1"/>
    <xf numFmtId="0" fontId="0" fillId="8" borderId="18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4" fontId="16" fillId="0" borderId="0" xfId="0" applyNumberFormat="1" applyFont="1" applyAlignment="1">
      <alignment horizontal="center"/>
    </xf>
    <xf numFmtId="0" fontId="1" fillId="0" borderId="13" xfId="0" applyFont="1" applyFill="1" applyBorder="1"/>
    <xf numFmtId="0" fontId="1" fillId="0" borderId="0" xfId="0" applyFont="1" applyAlignment="1"/>
    <xf numFmtId="0" fontId="31" fillId="0" borderId="0" xfId="0" applyFont="1" applyFill="1" applyAlignment="1"/>
    <xf numFmtId="0" fontId="21" fillId="0" borderId="0" xfId="0" applyFont="1" applyAlignment="1"/>
    <xf numFmtId="0" fontId="28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10" borderId="13" xfId="0" applyFont="1" applyFill="1" applyBorder="1" applyAlignment="1">
      <alignment horizontal="center"/>
    </xf>
    <xf numFmtId="0" fontId="2" fillId="6" borderId="0" xfId="0" applyFont="1" applyFill="1" applyAlignment="1" applyProtection="1">
      <alignment horizontal="center"/>
      <protection locked="0"/>
    </xf>
    <xf numFmtId="169" fontId="0" fillId="0" borderId="0" xfId="0" applyNumberFormat="1" applyAlignment="1">
      <alignment horizontal="right"/>
    </xf>
    <xf numFmtId="0" fontId="2" fillId="8" borderId="0" xfId="0" applyFont="1" applyFill="1" applyAlignment="1">
      <alignment horizontal="center"/>
    </xf>
    <xf numFmtId="0" fontId="16" fillId="0" borderId="0" xfId="0" applyFont="1" applyAlignment="1">
      <alignment horizontal="left" wrapText="1"/>
    </xf>
    <xf numFmtId="168" fontId="0" fillId="0" borderId="0" xfId="1" applyNumberFormat="1" applyFont="1" applyAlignment="1">
      <alignment horizontal="center"/>
    </xf>
    <xf numFmtId="168" fontId="2" fillId="8" borderId="0" xfId="0" applyNumberFormat="1" applyFont="1" applyFill="1" applyAlignment="1">
      <alignment horizontal="center"/>
    </xf>
    <xf numFmtId="1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168" fontId="2" fillId="0" borderId="0" xfId="1" applyNumberFormat="1" applyFont="1" applyAlignment="1">
      <alignment horizontal="center"/>
    </xf>
    <xf numFmtId="0" fontId="13" fillId="8" borderId="0" xfId="0" applyFont="1" applyFill="1" applyAlignment="1">
      <alignment horizontal="center"/>
    </xf>
    <xf numFmtId="168" fontId="2" fillId="8" borderId="0" xfId="1" applyNumberFormat="1" applyFont="1" applyFill="1" applyAlignment="1">
      <alignment horizontal="center"/>
    </xf>
    <xf numFmtId="164" fontId="2" fillId="0" borderId="0" xfId="1" applyFont="1" applyAlignment="1">
      <alignment horizontal="center"/>
    </xf>
    <xf numFmtId="0" fontId="16" fillId="8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8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emf"/><Relationship Id="rId4" Type="http://schemas.openxmlformats.org/officeDocument/2006/relationships/image" Target="../media/image6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emf"/><Relationship Id="rId4" Type="http://schemas.openxmlformats.org/officeDocument/2006/relationships/image" Target="../media/image6.w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emf"/><Relationship Id="rId4" Type="http://schemas.openxmlformats.org/officeDocument/2006/relationships/image" Target="../media/image6.w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emf"/><Relationship Id="rId4" Type="http://schemas.openxmlformats.org/officeDocument/2006/relationships/image" Target="../media/image6.w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emf"/><Relationship Id="rId4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95250</xdr:rowOff>
    </xdr:from>
    <xdr:to>
      <xdr:col>2</xdr:col>
      <xdr:colOff>1685925</xdr:colOff>
      <xdr:row>5</xdr:row>
      <xdr:rowOff>123825</xdr:rowOff>
    </xdr:to>
    <xdr:pic>
      <xdr:nvPicPr>
        <xdr:cNvPr id="3" name="Picture 2" descr="C:\Users\lnoyola\Desktop\Atlántida\2019\LOGOS\Nuevo logo\Logo Atlántida Vida-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80" b="22561"/>
        <a:stretch/>
      </xdr:blipFill>
      <xdr:spPr bwMode="auto">
        <a:xfrm>
          <a:off x="1171575" y="95250"/>
          <a:ext cx="2343150" cy="838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1</xdr:row>
      <xdr:rowOff>28575</xdr:rowOff>
    </xdr:from>
    <xdr:to>
      <xdr:col>3</xdr:col>
      <xdr:colOff>238125</xdr:colOff>
      <xdr:row>5</xdr:row>
      <xdr:rowOff>72560</xdr:rowOff>
    </xdr:to>
    <xdr:pic>
      <xdr:nvPicPr>
        <xdr:cNvPr id="3" name="Picture 2" descr="C:\Users\lnoyola\Desktop\Atlántida\2019\LOGOS\Nuevo logo\Logo Atlántida Vida-0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80" b="22561"/>
        <a:stretch/>
      </xdr:blipFill>
      <xdr:spPr bwMode="auto">
        <a:xfrm>
          <a:off x="1847850" y="190500"/>
          <a:ext cx="1933575" cy="691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1093258</xdr:colOff>
      <xdr:row>4</xdr:row>
      <xdr:rowOff>5885</xdr:rowOff>
    </xdr:to>
    <xdr:pic>
      <xdr:nvPicPr>
        <xdr:cNvPr id="3" name="Picture 2" descr="C:\Users\lnoyola\Desktop\Atlántida\2019\LOGOS\Nuevo logo\Logo Atlántida Vida-0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80" b="22561"/>
        <a:stretch/>
      </xdr:blipFill>
      <xdr:spPr bwMode="auto">
        <a:xfrm>
          <a:off x="238125" y="0"/>
          <a:ext cx="1931458" cy="682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495396</xdr:colOff>
      <xdr:row>26</xdr:row>
      <xdr:rowOff>20259</xdr:rowOff>
    </xdr:from>
    <xdr:to>
      <xdr:col>2</xdr:col>
      <xdr:colOff>631371</xdr:colOff>
      <xdr:row>26</xdr:row>
      <xdr:rowOff>148772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71721" y="4430334"/>
          <a:ext cx="135975" cy="128513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5</xdr:col>
      <xdr:colOff>251830</xdr:colOff>
      <xdr:row>26</xdr:row>
      <xdr:rowOff>20259</xdr:rowOff>
    </xdr:from>
    <xdr:to>
      <xdr:col>5</xdr:col>
      <xdr:colOff>387805</xdr:colOff>
      <xdr:row>26</xdr:row>
      <xdr:rowOff>148772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214105" y="4430334"/>
          <a:ext cx="135975" cy="128513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9</xdr:col>
      <xdr:colOff>59969</xdr:colOff>
      <xdr:row>26</xdr:row>
      <xdr:rowOff>20259</xdr:rowOff>
    </xdr:from>
    <xdr:to>
      <xdr:col>9</xdr:col>
      <xdr:colOff>195944</xdr:colOff>
      <xdr:row>26</xdr:row>
      <xdr:rowOff>148772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777112" y="4447116"/>
          <a:ext cx="135975" cy="128513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>
    <xdr:from>
      <xdr:col>12</xdr:col>
      <xdr:colOff>76297</xdr:colOff>
      <xdr:row>26</xdr:row>
      <xdr:rowOff>20259</xdr:rowOff>
    </xdr:from>
    <xdr:to>
      <xdr:col>12</xdr:col>
      <xdr:colOff>212272</xdr:colOff>
      <xdr:row>26</xdr:row>
      <xdr:rowOff>148772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303833" y="4447116"/>
          <a:ext cx="135975" cy="128513"/>
        </a:xfrm>
        <a:prstGeom prst="rect">
          <a:avLst/>
        </a:prstGeom>
        <a:noFill/>
        <a:ln w="12700">
          <a:solidFill>
            <a:schemeClr val="tx1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1219200</xdr:colOff>
          <xdr:row>21</xdr:row>
          <xdr:rowOff>142875</xdr:rowOff>
        </xdr:from>
        <xdr:to>
          <xdr:col>5</xdr:col>
          <xdr:colOff>28575</xdr:colOff>
          <xdr:row>25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9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23</xdr:row>
          <xdr:rowOff>114300</xdr:rowOff>
        </xdr:from>
        <xdr:to>
          <xdr:col>5</xdr:col>
          <xdr:colOff>1028700</xdr:colOff>
          <xdr:row>25</xdr:row>
          <xdr:rowOff>9525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9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23</xdr:row>
          <xdr:rowOff>47625</xdr:rowOff>
        </xdr:from>
        <xdr:to>
          <xdr:col>6</xdr:col>
          <xdr:colOff>1800225</xdr:colOff>
          <xdr:row>25</xdr:row>
          <xdr:rowOff>28575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9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16</xdr:row>
          <xdr:rowOff>104775</xdr:rowOff>
        </xdr:from>
        <xdr:to>
          <xdr:col>7</xdr:col>
          <xdr:colOff>161925</xdr:colOff>
          <xdr:row>21</xdr:row>
          <xdr:rowOff>57150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9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1219200</xdr:colOff>
          <xdr:row>21</xdr:row>
          <xdr:rowOff>142875</xdr:rowOff>
        </xdr:from>
        <xdr:to>
          <xdr:col>5</xdr:col>
          <xdr:colOff>28575</xdr:colOff>
          <xdr:row>25</xdr:row>
          <xdr:rowOff>114300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A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23</xdr:row>
          <xdr:rowOff>114300</xdr:rowOff>
        </xdr:from>
        <xdr:to>
          <xdr:col>5</xdr:col>
          <xdr:colOff>1028700</xdr:colOff>
          <xdr:row>25</xdr:row>
          <xdr:rowOff>9525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A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23</xdr:row>
          <xdr:rowOff>47625</xdr:rowOff>
        </xdr:from>
        <xdr:to>
          <xdr:col>6</xdr:col>
          <xdr:colOff>1800225</xdr:colOff>
          <xdr:row>25</xdr:row>
          <xdr:rowOff>28575</xdr:rowOff>
        </xdr:to>
        <xdr:sp macro="" textlink="">
          <xdr:nvSpPr>
            <xdr:cNvPr id="30723" name="Object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A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16</xdr:row>
          <xdr:rowOff>104775</xdr:rowOff>
        </xdr:from>
        <xdr:to>
          <xdr:col>7</xdr:col>
          <xdr:colOff>161925</xdr:colOff>
          <xdr:row>21</xdr:row>
          <xdr:rowOff>57150</xdr:rowOff>
        </xdr:to>
        <xdr:sp macro="" textlink="">
          <xdr:nvSpPr>
            <xdr:cNvPr id="30724" name="Object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A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1219200</xdr:colOff>
          <xdr:row>21</xdr:row>
          <xdr:rowOff>142875</xdr:rowOff>
        </xdr:from>
        <xdr:to>
          <xdr:col>5</xdr:col>
          <xdr:colOff>28575</xdr:colOff>
          <xdr:row>25</xdr:row>
          <xdr:rowOff>114300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B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23</xdr:row>
          <xdr:rowOff>114300</xdr:rowOff>
        </xdr:from>
        <xdr:to>
          <xdr:col>5</xdr:col>
          <xdr:colOff>1028700</xdr:colOff>
          <xdr:row>25</xdr:row>
          <xdr:rowOff>9525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B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23</xdr:row>
          <xdr:rowOff>47625</xdr:rowOff>
        </xdr:from>
        <xdr:to>
          <xdr:col>6</xdr:col>
          <xdr:colOff>1800225</xdr:colOff>
          <xdr:row>25</xdr:row>
          <xdr:rowOff>28575</xdr:rowOff>
        </xdr:to>
        <xdr:sp macro="" textlink="">
          <xdr:nvSpPr>
            <xdr:cNvPr id="31747" name="Object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B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15</xdr:row>
          <xdr:rowOff>133350</xdr:rowOff>
        </xdr:from>
        <xdr:to>
          <xdr:col>7</xdr:col>
          <xdr:colOff>190500</xdr:colOff>
          <xdr:row>20</xdr:row>
          <xdr:rowOff>38100</xdr:rowOff>
        </xdr:to>
        <xdr:sp macro="" textlink="">
          <xdr:nvSpPr>
            <xdr:cNvPr id="31748" name="Object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B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1219200</xdr:colOff>
          <xdr:row>21</xdr:row>
          <xdr:rowOff>142875</xdr:rowOff>
        </xdr:from>
        <xdr:to>
          <xdr:col>5</xdr:col>
          <xdr:colOff>28575</xdr:colOff>
          <xdr:row>25</xdr:row>
          <xdr:rowOff>114300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C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23</xdr:row>
          <xdr:rowOff>114300</xdr:rowOff>
        </xdr:from>
        <xdr:to>
          <xdr:col>5</xdr:col>
          <xdr:colOff>1028700</xdr:colOff>
          <xdr:row>25</xdr:row>
          <xdr:rowOff>9525</xdr:rowOff>
        </xdr:to>
        <xdr:sp macro="" textlink="">
          <xdr:nvSpPr>
            <xdr:cNvPr id="32770" name="Object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C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23</xdr:row>
          <xdr:rowOff>47625</xdr:rowOff>
        </xdr:from>
        <xdr:to>
          <xdr:col>6</xdr:col>
          <xdr:colOff>1800225</xdr:colOff>
          <xdr:row>25</xdr:row>
          <xdr:rowOff>28575</xdr:rowOff>
        </xdr:to>
        <xdr:sp macro="" textlink="">
          <xdr:nvSpPr>
            <xdr:cNvPr id="32771" name="Object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C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15</xdr:row>
          <xdr:rowOff>133350</xdr:rowOff>
        </xdr:from>
        <xdr:to>
          <xdr:col>7</xdr:col>
          <xdr:colOff>190500</xdr:colOff>
          <xdr:row>20</xdr:row>
          <xdr:rowOff>38100</xdr:rowOff>
        </xdr:to>
        <xdr:sp macro="" textlink="">
          <xdr:nvSpPr>
            <xdr:cNvPr id="32772" name="Object 4" hidden="1">
              <a:extLst>
                <a:ext uri="{63B3BB69-23CF-44E3-9099-C40C66FF867C}">
                  <a14:compatExt spid="_x0000_s32772"/>
                </a:ext>
                <a:ext uri="{FF2B5EF4-FFF2-40B4-BE49-F238E27FC236}">
                  <a16:creationId xmlns:a16="http://schemas.microsoft.com/office/drawing/2014/main" id="{00000000-0008-0000-0C00-00000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1219200</xdr:colOff>
          <xdr:row>21</xdr:row>
          <xdr:rowOff>142875</xdr:rowOff>
        </xdr:from>
        <xdr:to>
          <xdr:col>5</xdr:col>
          <xdr:colOff>28575</xdr:colOff>
          <xdr:row>25</xdr:row>
          <xdr:rowOff>114300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D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23</xdr:row>
          <xdr:rowOff>114300</xdr:rowOff>
        </xdr:from>
        <xdr:to>
          <xdr:col>5</xdr:col>
          <xdr:colOff>1028700</xdr:colOff>
          <xdr:row>25</xdr:row>
          <xdr:rowOff>9525</xdr:rowOff>
        </xdr:to>
        <xdr:sp macro="" textlink="">
          <xdr:nvSpPr>
            <xdr:cNvPr id="33794" name="Object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D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23</xdr:row>
          <xdr:rowOff>47625</xdr:rowOff>
        </xdr:from>
        <xdr:to>
          <xdr:col>6</xdr:col>
          <xdr:colOff>1800225</xdr:colOff>
          <xdr:row>25</xdr:row>
          <xdr:rowOff>28575</xdr:rowOff>
        </xdr:to>
        <xdr:sp macro="" textlink="">
          <xdr:nvSpPr>
            <xdr:cNvPr id="33795" name="Object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D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16</xdr:row>
          <xdr:rowOff>104775</xdr:rowOff>
        </xdr:from>
        <xdr:to>
          <xdr:col>7</xdr:col>
          <xdr:colOff>161925</xdr:colOff>
          <xdr:row>21</xdr:row>
          <xdr:rowOff>57150</xdr:rowOff>
        </xdr:to>
        <xdr:sp macro="" textlink="">
          <xdr:nvSpPr>
            <xdr:cNvPr id="33796" name="Object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D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w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6.wmf"/><Relationship Id="rId5" Type="http://schemas.openxmlformats.org/officeDocument/2006/relationships/image" Target="../media/image3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5.emf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oleObject" Target="../embeddings/oleObject5.bin"/><Relationship Id="rId7" Type="http://schemas.openxmlformats.org/officeDocument/2006/relationships/oleObject" Target="../embeddings/oleObject7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6.bin"/><Relationship Id="rId10" Type="http://schemas.openxmlformats.org/officeDocument/2006/relationships/image" Target="../media/image6.wmf"/><Relationship Id="rId4" Type="http://schemas.openxmlformats.org/officeDocument/2006/relationships/image" Target="../media/image3.emf"/><Relationship Id="rId9" Type="http://schemas.openxmlformats.org/officeDocument/2006/relationships/oleObject" Target="../embeddings/oleObject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oleObject" Target="../embeddings/oleObject9.bin"/><Relationship Id="rId7" Type="http://schemas.openxmlformats.org/officeDocument/2006/relationships/oleObject" Target="../embeddings/oleObject11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10.bin"/><Relationship Id="rId10" Type="http://schemas.openxmlformats.org/officeDocument/2006/relationships/image" Target="../media/image6.wmf"/><Relationship Id="rId4" Type="http://schemas.openxmlformats.org/officeDocument/2006/relationships/image" Target="../media/image3.emf"/><Relationship Id="rId9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oleObject" Target="../embeddings/oleObject13.bin"/><Relationship Id="rId7" Type="http://schemas.openxmlformats.org/officeDocument/2006/relationships/oleObject" Target="../embeddings/oleObject15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14.bin"/><Relationship Id="rId10" Type="http://schemas.openxmlformats.org/officeDocument/2006/relationships/image" Target="../media/image6.wmf"/><Relationship Id="rId4" Type="http://schemas.openxmlformats.org/officeDocument/2006/relationships/image" Target="../media/image3.emf"/><Relationship Id="rId9" Type="http://schemas.openxmlformats.org/officeDocument/2006/relationships/oleObject" Target="../embeddings/oleObject16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oleObject" Target="../embeddings/oleObject17.bin"/><Relationship Id="rId7" Type="http://schemas.openxmlformats.org/officeDocument/2006/relationships/oleObject" Target="../embeddings/oleObject19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Relationship Id="rId6" Type="http://schemas.openxmlformats.org/officeDocument/2006/relationships/image" Target="../media/image4.wmf"/><Relationship Id="rId5" Type="http://schemas.openxmlformats.org/officeDocument/2006/relationships/oleObject" Target="../embeddings/oleObject18.bin"/><Relationship Id="rId10" Type="http://schemas.openxmlformats.org/officeDocument/2006/relationships/image" Target="../media/image6.wmf"/><Relationship Id="rId4" Type="http://schemas.openxmlformats.org/officeDocument/2006/relationships/image" Target="../media/image3.emf"/><Relationship Id="rId9" Type="http://schemas.openxmlformats.org/officeDocument/2006/relationships/oleObject" Target="../embeddings/oleObject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6"/>
  <sheetViews>
    <sheetView showGridLines="0" showRowColHeaders="0" workbookViewId="0">
      <selection activeCell="C15" sqref="C15"/>
    </sheetView>
  </sheetViews>
  <sheetFormatPr defaultColWidth="0" defaultRowHeight="12.75" zeroHeight="1" x14ac:dyDescent="0.2"/>
  <cols>
    <col min="1" max="1" width="3.5703125" customWidth="1"/>
    <col min="2" max="2" width="23.85546875" customWidth="1"/>
    <col min="3" max="3" width="38.85546875" customWidth="1"/>
    <col min="4" max="4" width="3.5703125" customWidth="1"/>
    <col min="5" max="256" width="0" hidden="1" customWidth="1"/>
    <col min="257" max="16384" width="9.140625" hidden="1"/>
  </cols>
  <sheetData>
    <row r="1" spans="2:4" x14ac:dyDescent="0.2"/>
    <row r="2" spans="2:4" x14ac:dyDescent="0.2"/>
    <row r="3" spans="2:4" x14ac:dyDescent="0.2"/>
    <row r="4" spans="2:4" x14ac:dyDescent="0.2"/>
    <row r="5" spans="2:4" x14ac:dyDescent="0.2"/>
    <row r="6" spans="2:4" ht="15.75" x14ac:dyDescent="0.25">
      <c r="B6" s="141"/>
      <c r="C6" s="141"/>
      <c r="D6" s="99"/>
    </row>
    <row r="7" spans="2:4" ht="15.75" x14ac:dyDescent="0.25">
      <c r="B7" s="141" t="s">
        <v>155</v>
      </c>
      <c r="C7" s="141"/>
      <c r="D7" s="99"/>
    </row>
    <row r="8" spans="2:4" ht="15.75" x14ac:dyDescent="0.25">
      <c r="B8" s="142" t="s">
        <v>151</v>
      </c>
      <c r="C8" s="142"/>
      <c r="D8" s="99"/>
    </row>
    <row r="9" spans="2:4" x14ac:dyDescent="0.2">
      <c r="B9" s="143" t="s">
        <v>188</v>
      </c>
      <c r="C9" s="144"/>
    </row>
    <row r="10" spans="2:4" x14ac:dyDescent="0.2"/>
    <row r="11" spans="2:4" x14ac:dyDescent="0.2">
      <c r="B11" s="82" t="s">
        <v>121</v>
      </c>
      <c r="C11" s="121" t="s">
        <v>183</v>
      </c>
    </row>
    <row r="12" spans="2:4" x14ac:dyDescent="0.2">
      <c r="B12" s="82" t="s">
        <v>118</v>
      </c>
      <c r="C12" s="121" t="s">
        <v>184</v>
      </c>
    </row>
    <row r="13" spans="2:4" x14ac:dyDescent="0.2">
      <c r="B13" s="82" t="s">
        <v>119</v>
      </c>
      <c r="C13" s="121" t="s">
        <v>185</v>
      </c>
    </row>
    <row r="14" spans="2:4" x14ac:dyDescent="0.2">
      <c r="B14" s="82" t="s">
        <v>120</v>
      </c>
      <c r="C14" s="122" t="s">
        <v>186</v>
      </c>
    </row>
    <row r="15" spans="2:4" x14ac:dyDescent="0.2">
      <c r="B15" s="120" t="s">
        <v>189</v>
      </c>
      <c r="C15" s="121"/>
    </row>
    <row r="16" spans="2:4" x14ac:dyDescent="0.2"/>
  </sheetData>
  <sheetProtection algorithmName="SHA-512" hashValue="RVfhLA6nKvTmTayfAnEYHGiUgCUZSgXnFIYKJBGGIVX02q2QClq+0aBZQJ5gmOCZJaXd02zw4fRrVEPDcQ+ZjQ==" saltValue="Exc9XlTiK1Pb8hGgPaAChA==" spinCount="100000" sheet="1" selectLockedCells="1"/>
  <mergeCells count="4">
    <mergeCell ref="B6:C6"/>
    <mergeCell ref="B8:C8"/>
    <mergeCell ref="B9:C9"/>
    <mergeCell ref="B7:C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Q462"/>
  <sheetViews>
    <sheetView workbookViewId="0">
      <selection activeCell="E8" sqref="E8"/>
    </sheetView>
  </sheetViews>
  <sheetFormatPr defaultColWidth="11.42578125" defaultRowHeight="12.75" x14ac:dyDescent="0.2"/>
  <cols>
    <col min="1" max="1" width="10.28515625" customWidth="1"/>
    <col min="2" max="2" width="3.5703125" customWidth="1"/>
    <col min="3" max="3" width="20.28515625" customWidth="1"/>
    <col min="4" max="4" width="21.85546875" customWidth="1"/>
    <col min="5" max="5" width="27.140625" customWidth="1"/>
    <col min="6" max="6" width="16.85546875" customWidth="1"/>
    <col min="7" max="7" width="29.42578125" customWidth="1"/>
    <col min="8" max="8" width="13.28515625" customWidth="1"/>
    <col min="9" max="9" width="4.7109375" customWidth="1"/>
    <col min="10" max="10" width="19.42578125" customWidth="1"/>
    <col min="11" max="11" width="24.5703125" customWidth="1"/>
    <col min="12" max="12" width="13.7109375" hidden="1" customWidth="1"/>
    <col min="13" max="13" width="12.85546875" hidden="1" customWidth="1"/>
    <col min="14" max="14" width="13" hidden="1" customWidth="1"/>
    <col min="15" max="15" width="0.42578125" customWidth="1"/>
    <col min="16" max="16" width="2" hidden="1" customWidth="1"/>
    <col min="17" max="17" width="11.42578125" hidden="1" customWidth="1"/>
  </cols>
  <sheetData>
    <row r="3" spans="2:17" x14ac:dyDescent="0.2">
      <c r="J3" s="1" t="s">
        <v>48</v>
      </c>
    </row>
    <row r="4" spans="2:17" x14ac:dyDescent="0.2">
      <c r="O4" s="1"/>
    </row>
    <row r="5" spans="2:17" ht="18" x14ac:dyDescent="0.25">
      <c r="B5" s="173" t="s">
        <v>65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2:17" ht="15" x14ac:dyDescent="0.25">
      <c r="B6" s="174" t="s">
        <v>35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2:17" ht="15.75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7" ht="15.75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10" spans="2:17" ht="6" customHeight="1" x14ac:dyDescent="0.2"/>
    <row r="11" spans="2:17" ht="18" x14ac:dyDescent="0.25">
      <c r="B11" s="50"/>
      <c r="C11" s="51" t="s">
        <v>25</v>
      </c>
      <c r="D11" s="51"/>
      <c r="E11" s="51"/>
      <c r="F11" s="51" t="s">
        <v>26</v>
      </c>
      <c r="G11" s="52">
        <v>1000</v>
      </c>
    </row>
    <row r="12" spans="2:17" ht="0.75" customHeight="1" x14ac:dyDescent="0.25">
      <c r="B12" s="46"/>
      <c r="C12" s="46"/>
      <c r="D12" s="46"/>
      <c r="E12" s="46"/>
      <c r="F12" s="46"/>
      <c r="G12" s="40">
        <v>1</v>
      </c>
      <c r="H12" s="41" t="s">
        <v>17</v>
      </c>
    </row>
    <row r="13" spans="2:17" ht="18" x14ac:dyDescent="0.25">
      <c r="B13" s="50"/>
      <c r="C13" s="53" t="s">
        <v>27</v>
      </c>
      <c r="D13" s="50"/>
      <c r="E13" s="50"/>
      <c r="F13" s="51" t="s">
        <v>26</v>
      </c>
      <c r="G13" s="40" t="s">
        <v>52</v>
      </c>
      <c r="H13" s="41"/>
    </row>
    <row r="14" spans="2:17" ht="18" x14ac:dyDescent="0.25">
      <c r="B14" s="50"/>
      <c r="C14" s="53" t="s">
        <v>28</v>
      </c>
      <c r="D14" s="50"/>
      <c r="E14" s="50"/>
      <c r="F14" s="51" t="s">
        <v>26</v>
      </c>
      <c r="G14" s="40">
        <v>25</v>
      </c>
      <c r="H14" s="41" t="s">
        <v>17</v>
      </c>
      <c r="I14" s="82"/>
    </row>
    <row r="15" spans="2:17" ht="18" x14ac:dyDescent="0.25">
      <c r="B15" s="46"/>
      <c r="C15" s="175" t="s">
        <v>33</v>
      </c>
      <c r="D15" s="175"/>
      <c r="E15" s="175"/>
      <c r="F15" s="51"/>
      <c r="G15" s="79">
        <v>20</v>
      </c>
      <c r="H15" s="40"/>
      <c r="I15" s="82"/>
    </row>
    <row r="16" spans="2:17" ht="18" x14ac:dyDescent="0.25">
      <c r="B16" s="46"/>
      <c r="C16" s="54" t="s">
        <v>34</v>
      </c>
      <c r="D16" s="46"/>
      <c r="E16" s="46"/>
      <c r="F16" s="46"/>
      <c r="G16" s="46"/>
      <c r="H16" s="40"/>
      <c r="I16" s="82"/>
    </row>
    <row r="17" spans="2:16" ht="18" x14ac:dyDescent="0.25">
      <c r="B17" s="46"/>
      <c r="C17" s="46"/>
      <c r="D17" s="46"/>
      <c r="E17" s="46"/>
      <c r="F17" s="46"/>
      <c r="H17" s="40"/>
      <c r="I17" s="41"/>
    </row>
    <row r="18" spans="2:16" ht="18" x14ac:dyDescent="0.25">
      <c r="B18" s="46"/>
      <c r="C18" s="46"/>
      <c r="D18" s="46"/>
      <c r="E18" s="46"/>
      <c r="F18" s="46"/>
      <c r="G18" s="46"/>
      <c r="H18" s="40"/>
      <c r="I18" s="41"/>
    </row>
    <row r="19" spans="2:16" ht="18" x14ac:dyDescent="0.25">
      <c r="B19" s="46"/>
      <c r="C19" s="46" t="s">
        <v>29</v>
      </c>
      <c r="D19" s="46"/>
      <c r="F19" s="46"/>
      <c r="G19" s="46"/>
      <c r="H19" s="40"/>
      <c r="I19" s="41"/>
    </row>
    <row r="20" spans="2:16" ht="18" x14ac:dyDescent="0.25">
      <c r="B20" s="46"/>
      <c r="C20" s="46"/>
      <c r="D20" s="46"/>
      <c r="E20" s="46"/>
      <c r="F20" s="46"/>
      <c r="G20" s="46"/>
      <c r="H20" s="40"/>
      <c r="I20" s="41"/>
    </row>
    <row r="21" spans="2:16" x14ac:dyDescent="0.2">
      <c r="B21" s="176"/>
      <c r="C21" s="176"/>
      <c r="D21" s="176"/>
      <c r="E21" s="176"/>
      <c r="F21" s="176"/>
      <c r="G21" s="176"/>
      <c r="H21" s="55"/>
      <c r="I21" s="55"/>
      <c r="J21" s="69"/>
      <c r="K21" s="55"/>
    </row>
    <row r="22" spans="2:16" x14ac:dyDescent="0.2">
      <c r="B22" s="177"/>
      <c r="C22" s="177"/>
      <c r="D22" s="177"/>
      <c r="E22" s="177"/>
      <c r="F22" s="177"/>
      <c r="G22" s="177"/>
      <c r="H22" s="30"/>
      <c r="I22" s="30"/>
      <c r="J22" s="30"/>
      <c r="K22" s="30"/>
    </row>
    <row r="23" spans="2:16" x14ac:dyDescent="0.2">
      <c r="G23" s="45">
        <v>0.4</v>
      </c>
      <c r="H23" s="30"/>
      <c r="I23" s="30"/>
      <c r="J23" s="30"/>
      <c r="K23" s="30"/>
      <c r="L23" s="31"/>
      <c r="M23" s="31"/>
      <c r="N23" s="31"/>
      <c r="O23" s="31"/>
    </row>
    <row r="24" spans="2:16" ht="18" x14ac:dyDescent="0.25">
      <c r="F24" s="2"/>
      <c r="G24" s="39"/>
      <c r="K24" s="49"/>
      <c r="L24" s="177"/>
      <c r="M24" s="177"/>
      <c r="N24" s="177"/>
      <c r="O24" s="177"/>
      <c r="P24" s="32"/>
    </row>
    <row r="25" spans="2:16" ht="54.75" customHeight="1" x14ac:dyDescent="0.3">
      <c r="B25" s="56"/>
      <c r="C25" s="58" t="s">
        <v>30</v>
      </c>
      <c r="D25" s="58" t="s">
        <v>31</v>
      </c>
      <c r="E25" s="58"/>
      <c r="F25" s="58"/>
      <c r="G25" s="58"/>
      <c r="H25" s="58" t="s">
        <v>36</v>
      </c>
      <c r="I25" s="59"/>
      <c r="J25" s="59" t="s">
        <v>32</v>
      </c>
      <c r="K25" s="60" t="s">
        <v>37</v>
      </c>
      <c r="L25" s="56"/>
      <c r="M25" s="56"/>
      <c r="N25" s="56"/>
      <c r="O25" s="56"/>
      <c r="P25" s="32"/>
    </row>
    <row r="26" spans="2:16" x14ac:dyDescent="0.2">
      <c r="B26" s="144">
        <f>G14</f>
        <v>25</v>
      </c>
      <c r="C26" s="26">
        <v>1</v>
      </c>
      <c r="D26" s="26">
        <f>$G$14+C26</f>
        <v>26</v>
      </c>
      <c r="E26" s="70">
        <f>+IF($G$13="H",(VLOOKUP(D26,'CSO2001'!_xlnm.Print_Area,11)-VLOOKUP($G$14+$G$15,'CSO2001'!_xlnm.Print_Area,11))/VLOOKUP(D26,'CSO2001'!_xlnm.Print_Area,8)*$G$11,(VLOOKUP(D26-3,'CSO2001'!_xlnm.Print_Area,11)-VLOOKUP($G$14+$G$15-3,'CSO2001'!_xlnm.Print_Area,11))/VLOOKUP(D26-3,'CSO2001'!_xlnm.Print_Area,8)*$G$11)</f>
        <v>30.936136667209258</v>
      </c>
      <c r="F26" s="68">
        <f>+IF($G$13="H",(VLOOKUP(G14,'CSO2001'!_xlnm.Print_Area,11)-VLOOKUP($G$14+$G$15,'CSO2001'!_xlnm.Print_Area,11))/(VLOOKUP(G14,'CSO2001'!_xlnm.Print_Area,9)-VLOOKUP($G$14+$G$15,'CSO2001'!_xlnm.Print_Area,9))*$G$11,(VLOOKUP($G$14-3,'CSO2001'!_xlnm.Print_Area,11)-VLOOKUP($G$14+$G$15-3,'CSO2001'!_xlnm.Print_Area,11))/(VLOOKUP($G$14-3,'CSO2001'!_xlnm.Print_Area,9)-VLOOKUP($G$14+$G$15-3,'CSO2001'!_xlnm.Print_Area,9))*$G$11)</f>
        <v>2.0991169417593096</v>
      </c>
      <c r="G26" s="68">
        <f>+IF($G$13="H",(VLOOKUP(D26,'CSO2001'!_xlnm.Print_Area,9)-VLOOKUP($G$14+$G$15,'CSO2001'!_xlnm.Print_Area,9))/VLOOKUP(D26,'CSO2001'!_xlnm.Print_Area,8),(VLOOKUP(D26-3,'CSO2001'!_xlnm.Print_Area,9)-VLOOKUP($G$14+$G$15-3,'CSO2001'!_xlnm.Print_Area,9))/VLOOKUP(D26-3,'CSO2001'!_xlnm.Print_Area,8))</f>
        <v>14.522904243412109</v>
      </c>
      <c r="H26" s="68">
        <f>+IF(C26&gt;1,E26-F26*G26,0)</f>
        <v>0</v>
      </c>
      <c r="I26" s="57">
        <v>0</v>
      </c>
      <c r="J26" s="68">
        <f>+I26*H26</f>
        <v>0</v>
      </c>
      <c r="K26" s="68">
        <f>J26*(VLOOKUP(D26,'CSO2001'!_xlnm.Print_Area,8)-VLOOKUP($G$14+$G$15,'CSO2001'!_xlnm.Print_Area,8))/(VLOOKUP(D26,'CSO2001'!_xlnm.Print_Area,11)-VLOOKUP($G$14+$G$15,'CSO2001'!_xlnm.Print_Area,11))</f>
        <v>0</v>
      </c>
      <c r="L26" s="25"/>
      <c r="M26" s="25"/>
      <c r="N26" s="25"/>
      <c r="O26" s="25"/>
    </row>
    <row r="27" spans="2:16" x14ac:dyDescent="0.2">
      <c r="B27" s="144"/>
      <c r="C27" s="26">
        <f t="shared" ref="C27:C45" si="0">+C26+1</f>
        <v>2</v>
      </c>
      <c r="D27" s="26">
        <f>+$G$14+C27</f>
        <v>27</v>
      </c>
      <c r="E27" s="70">
        <f>+IF($G$13="H",(VLOOKUP(D27,'CSO2001'!_xlnm.Print_Area,11)-VLOOKUP($G$14+$G$15,'CSO2001'!_xlnm.Print_Area,11))/VLOOKUP(D27,'CSO2001'!_xlnm.Print_Area,8)*$G$11,(VLOOKUP(D27-3,'CSO2001'!_xlnm.Print_Area,11)-VLOOKUP($G$14+$G$15-3,'CSO2001'!_xlnm.Print_Area,11))/VLOOKUP(D27-3,'CSO2001'!_xlnm.Print_Area,8)*$G$11)</f>
        <v>30.126206930044184</v>
      </c>
      <c r="F27" s="68">
        <f>F26</f>
        <v>2.0991169417593096</v>
      </c>
      <c r="G27" s="68">
        <f>+IF($G$13="H",(VLOOKUP(D27,'CSO2001'!_xlnm.Print_Area,9)-VLOOKUP($G$14+$G$15,'CSO2001'!_xlnm.Print_Area,9))/VLOOKUP(D27,'CSO2001'!_xlnm.Print_Area,8),(VLOOKUP(D27-3,'CSO2001'!_xlnm.Print_Area,9)-VLOOKUP($G$14+$G$15-3,'CSO2001'!_xlnm.Print_Area,9))/VLOOKUP(D27-3,'CSO2001'!_xlnm.Print_Area,8))</f>
        <v>13.953596215131988</v>
      </c>
      <c r="H27" s="68">
        <f>+IF(C27&gt;1,E27-F27*G27,0)</f>
        <v>0.83597671639204663</v>
      </c>
      <c r="I27" s="57">
        <v>0.95</v>
      </c>
      <c r="J27" s="68">
        <f>+I27*H27</f>
        <v>0.79417788057244421</v>
      </c>
      <c r="K27" s="68">
        <f>J27*(VLOOKUP(D27,'CSO2001'!_xlnm.Print_Area,8)-VLOOKUP($G$14+$G$15,'CSO2001'!_xlnm.Print_Area,8))/(VLOOKUP(D27,'CSO2001'!_xlnm.Print_Area,11)-VLOOKUP($G$14+$G$15,'CSO2001'!_xlnm.Print_Area,11))</f>
        <v>11.507977351200593</v>
      </c>
      <c r="L27" s="25"/>
      <c r="M27" s="25"/>
      <c r="N27" s="25"/>
      <c r="O27" s="25"/>
    </row>
    <row r="28" spans="2:16" x14ac:dyDescent="0.2">
      <c r="B28" s="144"/>
      <c r="C28" s="26">
        <f t="shared" si="0"/>
        <v>3</v>
      </c>
      <c r="D28" s="26">
        <f>+$G$14+C28</f>
        <v>28</v>
      </c>
      <c r="E28" s="70">
        <f>+IF($G$13="H",(VLOOKUP(D28,'CSO2001'!_xlnm.Print_Area,11)-VLOOKUP($G$14+$G$15,'CSO2001'!_xlnm.Print_Area,11))/VLOOKUP(D28,'CSO2001'!_xlnm.Print_Area,8)*$G$11,(VLOOKUP(D28-3,'CSO2001'!_xlnm.Print_Area,11)-VLOOKUP($G$14+$G$15-3,'CSO2001'!_xlnm.Print_Area,11))/VLOOKUP(D28-3,'CSO2001'!_xlnm.Print_Area,8)*$G$11)</f>
        <v>29.212679273545596</v>
      </c>
      <c r="F28" s="68">
        <f t="shared" ref="F28:F45" si="1">F27</f>
        <v>2.0991169417593096</v>
      </c>
      <c r="G28" s="68">
        <f>+IF($G$13="H",(VLOOKUP(D28,'CSO2001'!_xlnm.Print_Area,9)-VLOOKUP($G$14+$G$15,'CSO2001'!_xlnm.Print_Area,9))/VLOOKUP(D28,'CSO2001'!_xlnm.Print_Area,8),(VLOOKUP(D28-3,'CSO2001'!_xlnm.Print_Area,9)-VLOOKUP($G$14+$G$15-3,'CSO2001'!_xlnm.Print_Area,9))/VLOOKUP(D28-3,'CSO2001'!_xlnm.Print_Area,8))</f>
        <v>13.36722755156247</v>
      </c>
      <c r="H28" s="68">
        <f t="shared" ref="H28:H45" si="2">+IF(C28&gt;1,E28-F28*G28,0)</f>
        <v>1.153305455708999</v>
      </c>
      <c r="I28" s="57">
        <v>0.95</v>
      </c>
      <c r="J28" s="68">
        <f>+I28*H28</f>
        <v>1.0956401829235489</v>
      </c>
      <c r="K28" s="68">
        <f>J28*(VLOOKUP(D28,'CSO2001'!_xlnm.Print_Area,8)-VLOOKUP($G$14+$G$15,'CSO2001'!_xlnm.Print_Area,8))/(VLOOKUP(D28,'CSO2001'!_xlnm.Print_Area,11)-VLOOKUP($G$14+$G$15,'CSO2001'!_xlnm.Print_Area,11))</f>
        <v>15.69796256449572</v>
      </c>
      <c r="L28" s="25"/>
      <c r="M28" s="25"/>
      <c r="N28" s="25"/>
      <c r="O28" s="25"/>
      <c r="P28" s="25"/>
    </row>
    <row r="29" spans="2:16" x14ac:dyDescent="0.2">
      <c r="B29" s="144"/>
      <c r="C29" s="26">
        <f t="shared" si="0"/>
        <v>4</v>
      </c>
      <c r="D29" s="26">
        <f>+$G$14+C29</f>
        <v>29</v>
      </c>
      <c r="E29" s="70">
        <f>+IF($G$13="H",(VLOOKUP(D29,'CSO2001'!_xlnm.Print_Area,11)-VLOOKUP($G$14+$G$15,'CSO2001'!_xlnm.Print_Area,11))/VLOOKUP(D29,'CSO2001'!_xlnm.Print_Area,8)*$G$11,(VLOOKUP(D29-3,'CSO2001'!_xlnm.Print_Area,11)-VLOOKUP($G$14+$G$15-3,'CSO2001'!_xlnm.Print_Area,11))/VLOOKUP(D29-3,'CSO2001'!_xlnm.Print_Area,8)*$G$11)</f>
        <v>28.269981056289335</v>
      </c>
      <c r="F29" s="68">
        <f t="shared" si="1"/>
        <v>2.0991169417593096</v>
      </c>
      <c r="G29" s="68">
        <f>+IF($G$13="H",(VLOOKUP(D29,'CSO2001'!_xlnm.Print_Area,9)-VLOOKUP($G$14+$G$15,'CSO2001'!_xlnm.Print_Area,9))/VLOOKUP(D29,'CSO2001'!_xlnm.Print_Area,8),(VLOOKUP(D29-3,'CSO2001'!_xlnm.Print_Area,9)-VLOOKUP($G$14+$G$15-3,'CSO2001'!_xlnm.Print_Area,9))/VLOOKUP(D29-3,'CSO2001'!_xlnm.Print_Area,8))</f>
        <v>12.762135095007197</v>
      </c>
      <c r="H29" s="68">
        <f t="shared" si="2"/>
        <v>1.4807670653386715</v>
      </c>
      <c r="I29" s="57">
        <v>0.95</v>
      </c>
      <c r="J29" s="68">
        <f>+I29*H29</f>
        <v>1.406728712071738</v>
      </c>
      <c r="K29" s="68">
        <f>J29*(VLOOKUP(D29,'CSO2001'!_xlnm.Print_Area,8)-VLOOKUP($G$14+$G$15,'CSO2001'!_xlnm.Print_Area,8))/(VLOOKUP(D29,'CSO2001'!_xlnm.Print_Area,11)-VLOOKUP($G$14+$G$15,'CSO2001'!_xlnm.Print_Area,11))</f>
        <v>19.903341364369187</v>
      </c>
      <c r="L29" s="25"/>
      <c r="M29" s="25"/>
      <c r="N29" s="25"/>
      <c r="O29" s="25"/>
    </row>
    <row r="30" spans="2:16" x14ac:dyDescent="0.2">
      <c r="B30" s="144"/>
      <c r="C30" s="26">
        <f t="shared" si="0"/>
        <v>5</v>
      </c>
      <c r="D30" s="26">
        <f>+$G$14+C30</f>
        <v>30</v>
      </c>
      <c r="E30" s="70">
        <f>+IF($G$13="H",(VLOOKUP(D30,'CSO2001'!_xlnm.Print_Area,11)-VLOOKUP($G$14+$G$15,'CSO2001'!_xlnm.Print_Area,11))/VLOOKUP(D30,'CSO2001'!_xlnm.Print_Area,8)*$G$11,(VLOOKUP(D30-3,'CSO2001'!_xlnm.Print_Area,11)-VLOOKUP($G$14+$G$15-3,'CSO2001'!_xlnm.Print_Area,11))/VLOOKUP(D30-3,'CSO2001'!_xlnm.Print_Area,8)*$G$11)</f>
        <v>27.328364678987359</v>
      </c>
      <c r="F30" s="68">
        <f t="shared" si="1"/>
        <v>2.0991169417593096</v>
      </c>
      <c r="G30" s="68">
        <f>+IF($G$13="H",(VLOOKUP(D30,'CSO2001'!_xlnm.Print_Area,9)-VLOOKUP($G$14+$G$15,'CSO2001'!_xlnm.Print_Area,9))/VLOOKUP(D30,'CSO2001'!_xlnm.Print_Area,8),(VLOOKUP(D30-3,'CSO2001'!_xlnm.Print_Area,9)-VLOOKUP($G$14+$G$15-3,'CSO2001'!_xlnm.Print_Area,9))/VLOOKUP(D30-3,'CSO2001'!_xlnm.Print_Area,8))</f>
        <v>12.13733183844014</v>
      </c>
      <c r="H30" s="68">
        <f t="shared" si="2"/>
        <v>1.8506857891629949</v>
      </c>
      <c r="I30" s="57">
        <v>0.95</v>
      </c>
      <c r="J30" s="68">
        <f>+I30*H30</f>
        <v>1.7581514997048451</v>
      </c>
      <c r="K30" s="68">
        <f>J30*(VLOOKUP(D30,'CSO2001'!_xlnm.Print_Area,8)-VLOOKUP($G$14+$G$15,'CSO2001'!_xlnm.Print_Area,8))/(VLOOKUP(D30,'CSO2001'!_xlnm.Print_Area,11)-VLOOKUP($G$14+$G$15,'CSO2001'!_xlnm.Print_Area,11))</f>
        <v>24.501264380537979</v>
      </c>
      <c r="L30" s="25"/>
      <c r="M30" s="25"/>
      <c r="N30" s="25"/>
      <c r="O30" s="25"/>
    </row>
    <row r="31" spans="2:16" x14ac:dyDescent="0.2">
      <c r="B31" s="144"/>
      <c r="C31" s="26">
        <f t="shared" si="0"/>
        <v>6</v>
      </c>
      <c r="D31" s="26">
        <f t="shared" ref="D31:D45" si="3">+$G$14+C31</f>
        <v>31</v>
      </c>
      <c r="E31" s="70">
        <f>+IF($G$13="H",(VLOOKUP(D31,'CSO2001'!_xlnm.Print_Area,11)-VLOOKUP($G$14+$G$15,'CSO2001'!_xlnm.Print_Area,11))/VLOOKUP(D31,'CSO2001'!_xlnm.Print_Area,8)*$G$11,(VLOOKUP(D31-3,'CSO2001'!_xlnm.Print_Area,11)-VLOOKUP($G$14+$G$15-3,'CSO2001'!_xlnm.Print_Area,11))/VLOOKUP(D31-3,'CSO2001'!_xlnm.Print_Area,8)*$G$11)</f>
        <v>26.37231872871812</v>
      </c>
      <c r="F31" s="68">
        <f t="shared" si="1"/>
        <v>2.0991169417593096</v>
      </c>
      <c r="G31" s="68">
        <f>+IF($G$13="H",(VLOOKUP(D31,'CSO2001'!_xlnm.Print_Area,9)-VLOOKUP($G$14+$G$15,'CSO2001'!_xlnm.Print_Area,9))/VLOOKUP(D31,'CSO2001'!_xlnm.Print_Area,8),(VLOOKUP(D31-3,'CSO2001'!_xlnm.Print_Area,9)-VLOOKUP($G$14+$G$15-3,'CSO2001'!_xlnm.Print_Area,9))/VLOOKUP(D31-3,'CSO2001'!_xlnm.Print_Area,8))</f>
        <v>11.492413956650275</v>
      </c>
      <c r="H31" s="68">
        <f t="shared" si="2"/>
        <v>2.2483978906023907</v>
      </c>
      <c r="I31" s="57">
        <v>0.95</v>
      </c>
      <c r="J31" s="68">
        <f t="shared" ref="J31:J45" si="4">+I31*H31</f>
        <v>2.1359779960722709</v>
      </c>
      <c r="K31" s="68">
        <f>J31*(VLOOKUP(D31,'CSO2001'!_xlnm.Print_Area,8)-VLOOKUP($G$14+$G$15,'CSO2001'!_xlnm.Print_Area,8))/(VLOOKUP(D31,'CSO2001'!_xlnm.Print_Area,11)-VLOOKUP($G$14+$G$15,'CSO2001'!_xlnm.Print_Area,11))</f>
        <v>29.246866410582662</v>
      </c>
      <c r="L31" s="25"/>
      <c r="M31" s="25"/>
      <c r="N31" s="25"/>
      <c r="O31" s="25"/>
    </row>
    <row r="32" spans="2:16" x14ac:dyDescent="0.2">
      <c r="B32" s="144"/>
      <c r="C32" s="26">
        <f t="shared" si="0"/>
        <v>7</v>
      </c>
      <c r="D32" s="26">
        <f t="shared" si="3"/>
        <v>32</v>
      </c>
      <c r="E32" s="70">
        <f>+IF($G$13="H",(VLOOKUP(D32,'CSO2001'!_xlnm.Print_Area,11)-VLOOKUP($G$14+$G$15,'CSO2001'!_xlnm.Print_Area,11))/VLOOKUP(D32,'CSO2001'!_xlnm.Print_Area,8)*$G$11,(VLOOKUP(D32-3,'CSO2001'!_xlnm.Print_Area,11)-VLOOKUP($G$14+$G$15-3,'CSO2001'!_xlnm.Print_Area,11))/VLOOKUP(D32-3,'CSO2001'!_xlnm.Print_Area,8)*$G$11)</f>
        <v>25.401414047177006</v>
      </c>
      <c r="F32" s="68">
        <f t="shared" si="1"/>
        <v>2.0991169417593096</v>
      </c>
      <c r="G32" s="68">
        <f>+IF($G$13="H",(VLOOKUP(D32,'CSO2001'!_xlnm.Print_Area,9)-VLOOKUP($G$14+$G$15,'CSO2001'!_xlnm.Print_Area,9))/VLOOKUP(D32,'CSO2001'!_xlnm.Print_Area,8),(VLOOKUP(D32-3,'CSO2001'!_xlnm.Print_Area,9)-VLOOKUP($G$14+$G$15-3,'CSO2001'!_xlnm.Print_Area,9))/VLOOKUP(D32-3,'CSO2001'!_xlnm.Print_Area,8))</f>
        <v>10.826761159526198</v>
      </c>
      <c r="H32" s="68">
        <f t="shared" si="2"/>
        <v>2.6747762728338955</v>
      </c>
      <c r="I32" s="57">
        <v>0.95</v>
      </c>
      <c r="J32" s="68">
        <f t="shared" si="4"/>
        <v>2.5410374591922005</v>
      </c>
      <c r="K32" s="68">
        <f>J32*(VLOOKUP(D32,'CSO2001'!_xlnm.Print_Area,8)-VLOOKUP($G$14+$G$15,'CSO2001'!_xlnm.Print_Area,8))/(VLOOKUP(D32,'CSO2001'!_xlnm.Print_Area,11)-VLOOKUP($G$14+$G$15,'CSO2001'!_xlnm.Print_Area,11))</f>
        <v>34.086417215619427</v>
      </c>
    </row>
    <row r="33" spans="2:11" x14ac:dyDescent="0.2">
      <c r="B33" s="144"/>
      <c r="C33" s="26">
        <f t="shared" si="0"/>
        <v>8</v>
      </c>
      <c r="D33" s="26">
        <f t="shared" si="3"/>
        <v>33</v>
      </c>
      <c r="E33" s="70">
        <f>+IF($G$13="H",(VLOOKUP(D33,'CSO2001'!_xlnm.Print_Area,11)-VLOOKUP($G$14+$G$15,'CSO2001'!_xlnm.Print_Area,11))/VLOOKUP(D33,'CSO2001'!_xlnm.Print_Area,8)*$G$11,(VLOOKUP(D33-3,'CSO2001'!_xlnm.Print_Area,11)-VLOOKUP($G$14+$G$15-3,'CSO2001'!_xlnm.Print_Area,11))/VLOOKUP(D33-3,'CSO2001'!_xlnm.Print_Area,8)*$G$11)</f>
        <v>24.399570892766423</v>
      </c>
      <c r="F33" s="68">
        <f t="shared" si="1"/>
        <v>2.0991169417593096</v>
      </c>
      <c r="G33" s="68">
        <f>+IF($G$13="H",(VLOOKUP(D33,'CSO2001'!_xlnm.Print_Area,9)-VLOOKUP($G$14+$G$15,'CSO2001'!_xlnm.Print_Area,9))/VLOOKUP(D33,'CSO2001'!_xlnm.Print_Area,8),(VLOOKUP(D33-3,'CSO2001'!_xlnm.Print_Area,9)-VLOOKUP($G$14+$G$15-3,'CSO2001'!_xlnm.Print_Area,9))/VLOOKUP(D33-3,'CSO2001'!_xlnm.Print_Area,8))</f>
        <v>10.139896927957734</v>
      </c>
      <c r="H33" s="68">
        <f t="shared" si="2"/>
        <v>3.1147414635971664</v>
      </c>
      <c r="I33" s="57">
        <v>0.95</v>
      </c>
      <c r="J33" s="68">
        <f t="shared" si="4"/>
        <v>2.959004390417308</v>
      </c>
      <c r="K33" s="68">
        <f>J33*(VLOOKUP(D33,'CSO2001'!_xlnm.Print_Area,8)-VLOOKUP($G$14+$G$15,'CSO2001'!_xlnm.Print_Area,8))/(VLOOKUP(D33,'CSO2001'!_xlnm.Print_Area,11)-VLOOKUP($G$14+$G$15,'CSO2001'!_xlnm.Print_Area,11))</f>
        <v>38.775326846270957</v>
      </c>
    </row>
    <row r="34" spans="2:11" x14ac:dyDescent="0.2">
      <c r="B34" s="144"/>
      <c r="C34" s="26">
        <f t="shared" si="0"/>
        <v>9</v>
      </c>
      <c r="D34" s="26">
        <f t="shared" si="3"/>
        <v>34</v>
      </c>
      <c r="E34" s="70">
        <f>+IF($G$13="H",(VLOOKUP(D34,'CSO2001'!_xlnm.Print_Area,11)-VLOOKUP($G$14+$G$15,'CSO2001'!_xlnm.Print_Area,11))/VLOOKUP(D34,'CSO2001'!_xlnm.Print_Area,8)*$G$11,(VLOOKUP(D34-3,'CSO2001'!_xlnm.Print_Area,11)-VLOOKUP($G$14+$G$15-3,'CSO2001'!_xlnm.Print_Area,11))/VLOOKUP(D34-3,'CSO2001'!_xlnm.Print_Area,8)*$G$11)</f>
        <v>23.334493487566508</v>
      </c>
      <c r="F34" s="68">
        <f t="shared" si="1"/>
        <v>2.0991169417593096</v>
      </c>
      <c r="G34" s="68">
        <f>+IF($G$13="H",(VLOOKUP(D34,'CSO2001'!_xlnm.Print_Area,9)-VLOOKUP($G$14+$G$15,'CSO2001'!_xlnm.Print_Area,9))/VLOOKUP(D34,'CSO2001'!_xlnm.Print_Area,8),(VLOOKUP(D34-3,'CSO2001'!_xlnm.Print_Area,9)-VLOOKUP($G$14+$G$15-3,'CSO2001'!_xlnm.Print_Area,9))/VLOOKUP(D34-3,'CSO2001'!_xlnm.Print_Area,8))</f>
        <v>9.4314476995636607</v>
      </c>
      <c r="H34" s="68">
        <f t="shared" si="2"/>
        <v>3.5367818360955603</v>
      </c>
      <c r="I34" s="57">
        <v>0.95</v>
      </c>
      <c r="J34" s="68">
        <f t="shared" si="4"/>
        <v>3.3599427442907821</v>
      </c>
      <c r="K34" s="68">
        <f>J34*(VLOOKUP(D34,'CSO2001'!_xlnm.Print_Area,8)-VLOOKUP($G$14+$G$15,'CSO2001'!_xlnm.Print_Area,8))/(VLOOKUP(D34,'CSO2001'!_xlnm.Print_Area,11)-VLOOKUP($G$14+$G$15,'CSO2001'!_xlnm.Print_Area,11))</f>
        <v>42.914441856220058</v>
      </c>
    </row>
    <row r="35" spans="2:11" x14ac:dyDescent="0.2">
      <c r="B35" s="144"/>
      <c r="C35" s="26">
        <f t="shared" si="0"/>
        <v>10</v>
      </c>
      <c r="D35" s="26">
        <f t="shared" si="3"/>
        <v>35</v>
      </c>
      <c r="E35" s="70">
        <f>+IF($G$13="H",(VLOOKUP(D35,'CSO2001'!_xlnm.Print_Area,11)-VLOOKUP($G$14+$G$15,'CSO2001'!_xlnm.Print_Area,11))/VLOOKUP(D35,'CSO2001'!_xlnm.Print_Area,8)*$G$11,(VLOOKUP(D35-3,'CSO2001'!_xlnm.Print_Area,11)-VLOOKUP($G$14+$G$15-3,'CSO2001'!_xlnm.Print_Area,11))/VLOOKUP(D35-3,'CSO2001'!_xlnm.Print_Area,8)*$G$11)</f>
        <v>22.188420029208661</v>
      </c>
      <c r="F35" s="68">
        <f t="shared" si="1"/>
        <v>2.0991169417593096</v>
      </c>
      <c r="G35" s="68">
        <f>+IF($G$13="H",(VLOOKUP(D35,'CSO2001'!_xlnm.Print_Area,9)-VLOOKUP($G$14+$G$15,'CSO2001'!_xlnm.Print_Area,9))/VLOOKUP(D35,'CSO2001'!_xlnm.Print_Area,8),(VLOOKUP(D35-3,'CSO2001'!_xlnm.Print_Area,9)-VLOOKUP($G$14+$G$15-3,'CSO2001'!_xlnm.Print_Area,9))/VLOOKUP(D35-3,'CSO2001'!_xlnm.Print_Area,8))</f>
        <v>8.7008182754546297</v>
      </c>
      <c r="H35" s="68">
        <f t="shared" si="2"/>
        <v>3.9243849800328299</v>
      </c>
      <c r="I35" s="57">
        <v>0.95</v>
      </c>
      <c r="J35" s="68">
        <f t="shared" si="4"/>
        <v>3.7281657310311882</v>
      </c>
      <c r="K35" s="68">
        <f>J35*(VLOOKUP(D35,'CSO2001'!_xlnm.Print_Area,8)-VLOOKUP($G$14+$G$15,'CSO2001'!_xlnm.Print_Area,8))/(VLOOKUP(D35,'CSO2001'!_xlnm.Print_Area,11)-VLOOKUP($G$14+$G$15,'CSO2001'!_xlnm.Print_Area,11))</f>
        <v>46.308881717439533</v>
      </c>
    </row>
    <row r="36" spans="2:11" x14ac:dyDescent="0.2">
      <c r="B36" s="144"/>
      <c r="C36" s="26">
        <f t="shared" si="0"/>
        <v>11</v>
      </c>
      <c r="D36" s="26">
        <f t="shared" si="3"/>
        <v>36</v>
      </c>
      <c r="E36" s="70">
        <f>+IF($G$13="H",(VLOOKUP(D36,'CSO2001'!_xlnm.Print_Area,11)-VLOOKUP($G$14+$G$15,'CSO2001'!_xlnm.Print_Area,11))/VLOOKUP(D36,'CSO2001'!_xlnm.Print_Area,8)*$G$11,(VLOOKUP(D36-3,'CSO2001'!_xlnm.Print_Area,11)-VLOOKUP($G$14+$G$15-3,'CSO2001'!_xlnm.Print_Area,11))/VLOOKUP(D36-3,'CSO2001'!_xlnm.Print_Area,8)*$G$11)</f>
        <v>20.958648573723632</v>
      </c>
      <c r="F36" s="68">
        <f t="shared" si="1"/>
        <v>2.0991169417593096</v>
      </c>
      <c r="G36" s="68">
        <f>+IF($G$13="H",(VLOOKUP(D36,'CSO2001'!_xlnm.Print_Area,9)-VLOOKUP($G$14+$G$15,'CSO2001'!_xlnm.Print_Area,9))/VLOOKUP(D36,'CSO2001'!_xlnm.Print_Area,8),(VLOOKUP(D36-3,'CSO2001'!_xlnm.Print_Area,9)-VLOOKUP($G$14+$G$15-3,'CSO2001'!_xlnm.Print_Area,9))/VLOOKUP(D36-3,'CSO2001'!_xlnm.Print_Area,8))</f>
        <v>7.9472286584009328</v>
      </c>
      <c r="H36" s="68">
        <f t="shared" si="2"/>
        <v>4.2764862568391244</v>
      </c>
      <c r="I36" s="57">
        <v>0.95</v>
      </c>
      <c r="J36" s="68">
        <f t="shared" si="4"/>
        <v>4.0626619439971678</v>
      </c>
      <c r="K36" s="68">
        <f>J36*(VLOOKUP(D36,'CSO2001'!_xlnm.Print_Area,8)-VLOOKUP($G$14+$G$15,'CSO2001'!_xlnm.Print_Area,8))/(VLOOKUP(D36,'CSO2001'!_xlnm.Print_Area,11)-VLOOKUP($G$14+$G$15,'CSO2001'!_xlnm.Print_Area,11))</f>
        <v>48.931740322181035</v>
      </c>
    </row>
    <row r="37" spans="2:11" x14ac:dyDescent="0.2">
      <c r="B37" s="144"/>
      <c r="C37" s="26">
        <f t="shared" si="0"/>
        <v>12</v>
      </c>
      <c r="D37" s="26">
        <f t="shared" si="3"/>
        <v>37</v>
      </c>
      <c r="E37" s="70">
        <f>+IF($G$13="H",(VLOOKUP(D37,'CSO2001'!_xlnm.Print_Area,11)-VLOOKUP($G$14+$G$15,'CSO2001'!_xlnm.Print_Area,11))/VLOOKUP(D37,'CSO2001'!_xlnm.Print_Area,8)*$G$11,(VLOOKUP(D37-3,'CSO2001'!_xlnm.Print_Area,11)-VLOOKUP($G$14+$G$15-3,'CSO2001'!_xlnm.Print_Area,11))/VLOOKUP(D37-3,'CSO2001'!_xlnm.Print_Area,8)*$G$11)</f>
        <v>19.57950686098663</v>
      </c>
      <c r="F37" s="68">
        <f t="shared" si="1"/>
        <v>2.0991169417593096</v>
      </c>
      <c r="G37" s="68">
        <f>+IF($G$13="H",(VLOOKUP(D37,'CSO2001'!_xlnm.Print_Area,9)-VLOOKUP($G$14+$G$15,'CSO2001'!_xlnm.Print_Area,9))/VLOOKUP(D37,'CSO2001'!_xlnm.Print_Area,8),(VLOOKUP(D37-3,'CSO2001'!_xlnm.Print_Area,9)-VLOOKUP($G$14+$G$15-3,'CSO2001'!_xlnm.Print_Area,9))/VLOOKUP(D37-3,'CSO2001'!_xlnm.Print_Area,8))</f>
        <v>7.1703303547194288</v>
      </c>
      <c r="H37" s="68">
        <f t="shared" si="2"/>
        <v>4.5281449353840362</v>
      </c>
      <c r="I37" s="57">
        <v>0.95</v>
      </c>
      <c r="J37" s="68">
        <f t="shared" si="4"/>
        <v>4.3017376886148337</v>
      </c>
      <c r="K37" s="68">
        <f>J37*(VLOOKUP(D37,'CSO2001'!_xlnm.Print_Area,8)-VLOOKUP($G$14+$G$15,'CSO2001'!_xlnm.Print_Area,8))/(VLOOKUP(D37,'CSO2001'!_xlnm.Print_Area,11)-VLOOKUP($G$14+$G$15,'CSO2001'!_xlnm.Print_Area,11))</f>
        <v>50.186170784980902</v>
      </c>
    </row>
    <row r="38" spans="2:11" x14ac:dyDescent="0.2">
      <c r="B38" s="144"/>
      <c r="C38" s="26">
        <f t="shared" si="0"/>
        <v>13</v>
      </c>
      <c r="D38" s="26">
        <f t="shared" si="3"/>
        <v>38</v>
      </c>
      <c r="E38" s="70">
        <f>+IF($G$13="H",(VLOOKUP(D38,'CSO2001'!_xlnm.Print_Area,11)-VLOOKUP($G$14+$G$15,'CSO2001'!_xlnm.Print_Area,11))/VLOOKUP(D38,'CSO2001'!_xlnm.Print_Area,8)*$G$11,(VLOOKUP(D38-3,'CSO2001'!_xlnm.Print_Area,11)-VLOOKUP($G$14+$G$15-3,'CSO2001'!_xlnm.Print_Area,11))/VLOOKUP(D38-3,'CSO2001'!_xlnm.Print_Area,8)*$G$11)</f>
        <v>18.061616171888726</v>
      </c>
      <c r="F38" s="68">
        <f t="shared" si="1"/>
        <v>2.0991169417593096</v>
      </c>
      <c r="G38" s="68">
        <f>+IF($G$13="H",(VLOOKUP(D38,'CSO2001'!_xlnm.Print_Area,9)-VLOOKUP($G$14+$G$15,'CSO2001'!_xlnm.Print_Area,9))/VLOOKUP(D38,'CSO2001'!_xlnm.Print_Area,8),(VLOOKUP(D38-3,'CSO2001'!_xlnm.Print_Area,9)-VLOOKUP($G$14+$G$15-3,'CSO2001'!_xlnm.Print_Area,9))/VLOOKUP(D38-3,'CSO2001'!_xlnm.Print_Area,8))</f>
        <v>6.3690956063409976</v>
      </c>
      <c r="H38" s="68">
        <f t="shared" si="2"/>
        <v>4.6921396809335558</v>
      </c>
      <c r="I38" s="57">
        <v>0.95</v>
      </c>
      <c r="J38" s="68">
        <f t="shared" si="4"/>
        <v>4.4575326968868776</v>
      </c>
      <c r="K38" s="68">
        <f>J38*(VLOOKUP(D38,'CSO2001'!_xlnm.Print_Area,8)-VLOOKUP($G$14+$G$15,'CSO2001'!_xlnm.Print_Area,8))/(VLOOKUP(D38,'CSO2001'!_xlnm.Print_Area,11)-VLOOKUP($G$14+$G$15,'CSO2001'!_xlnm.Print_Area,11))</f>
        <v>50.240056175563254</v>
      </c>
    </row>
    <row r="39" spans="2:11" x14ac:dyDescent="0.2">
      <c r="B39" s="144"/>
      <c r="C39" s="26">
        <f t="shared" si="0"/>
        <v>14</v>
      </c>
      <c r="D39" s="26">
        <f t="shared" si="3"/>
        <v>39</v>
      </c>
      <c r="E39" s="70">
        <f>+IF($G$13="H",(VLOOKUP(D39,'CSO2001'!_xlnm.Print_Area,11)-VLOOKUP($G$14+$G$15,'CSO2001'!_xlnm.Print_Area,11))/VLOOKUP(D39,'CSO2001'!_xlnm.Print_Area,8)*$G$11,(VLOOKUP(D39-3,'CSO2001'!_xlnm.Print_Area,11)-VLOOKUP($G$14+$G$15-3,'CSO2001'!_xlnm.Print_Area,11))/VLOOKUP(D39-3,'CSO2001'!_xlnm.Print_Area,8)*$G$11)</f>
        <v>16.337105347766631</v>
      </c>
      <c r="F39" s="68">
        <f t="shared" si="1"/>
        <v>2.0991169417593096</v>
      </c>
      <c r="G39" s="68">
        <f>+IF($G$13="H",(VLOOKUP(D39,'CSO2001'!_xlnm.Print_Area,9)-VLOOKUP($G$14+$G$15,'CSO2001'!_xlnm.Print_Area,9))/VLOOKUP(D39,'CSO2001'!_xlnm.Print_Area,8),(VLOOKUP(D39-3,'CSO2001'!_xlnm.Print_Area,9)-VLOOKUP($G$14+$G$15-3,'CSO2001'!_xlnm.Print_Area,9))/VLOOKUP(D39-3,'CSO2001'!_xlnm.Print_Area,8))</f>
        <v>5.5429394069247895</v>
      </c>
      <c r="H39" s="68">
        <f t="shared" si="2"/>
        <v>4.7018273315455055</v>
      </c>
      <c r="I39" s="57">
        <v>0.95</v>
      </c>
      <c r="J39" s="68">
        <f t="shared" si="4"/>
        <v>4.4667359649682297</v>
      </c>
      <c r="K39" s="68">
        <f>J39*(VLOOKUP(D39,'CSO2001'!_xlnm.Print_Area,8)-VLOOKUP($G$14+$G$15,'CSO2001'!_xlnm.Print_Area,8))/(VLOOKUP(D39,'CSO2001'!_xlnm.Print_Area,11)-VLOOKUP($G$14+$G$15,'CSO2001'!_xlnm.Print_Area,11))</f>
        <v>48.607447851165027</v>
      </c>
    </row>
    <row r="40" spans="2:11" x14ac:dyDescent="0.2">
      <c r="B40" s="144"/>
      <c r="C40" s="26">
        <f t="shared" si="0"/>
        <v>15</v>
      </c>
      <c r="D40" s="26">
        <f t="shared" si="3"/>
        <v>40</v>
      </c>
      <c r="E40" s="70">
        <f>+IF($G$13="H",(VLOOKUP(D40,'CSO2001'!_xlnm.Print_Area,11)-VLOOKUP($G$14+$G$15,'CSO2001'!_xlnm.Print_Area,11))/VLOOKUP(D40,'CSO2001'!_xlnm.Print_Area,8)*$G$11,(VLOOKUP(D40-3,'CSO2001'!_xlnm.Print_Area,11)-VLOOKUP($G$14+$G$15-3,'CSO2001'!_xlnm.Print_Area,11))/VLOOKUP(D40-3,'CSO2001'!_xlnm.Print_Area,8)*$G$11)</f>
        <v>14.398696897354714</v>
      </c>
      <c r="F40" s="68">
        <f t="shared" si="1"/>
        <v>2.0991169417593096</v>
      </c>
      <c r="G40" s="68">
        <f>+IF($G$13="H",(VLOOKUP(D40,'CSO2001'!_xlnm.Print_Area,9)-VLOOKUP($G$14+$G$15,'CSO2001'!_xlnm.Print_Area,9))/VLOOKUP(D40,'CSO2001'!_xlnm.Print_Area,8),(VLOOKUP(D40-3,'CSO2001'!_xlnm.Print_Area,9)-VLOOKUP($G$14+$G$15-3,'CSO2001'!_xlnm.Print_Area,9))/VLOOKUP(D40-3,'CSO2001'!_xlnm.Print_Area,8))</f>
        <v>4.6907856850605203</v>
      </c>
      <c r="H40" s="68">
        <f t="shared" si="2"/>
        <v>4.5521891956821268</v>
      </c>
      <c r="I40" s="57">
        <v>0.95</v>
      </c>
      <c r="J40" s="68">
        <f t="shared" si="4"/>
        <v>4.3245797358980198</v>
      </c>
      <c r="K40" s="68">
        <f>J40*(VLOOKUP(D40,'CSO2001'!_xlnm.Print_Area,8)-VLOOKUP($G$14+$G$15,'CSO2001'!_xlnm.Print_Area,8))/(VLOOKUP(D40,'CSO2001'!_xlnm.Print_Area,11)-VLOOKUP($G$14+$G$15,'CSO2001'!_xlnm.Print_Area,11))</f>
        <v>45.359192603586109</v>
      </c>
    </row>
    <row r="41" spans="2:11" x14ac:dyDescent="0.2">
      <c r="B41" s="144"/>
      <c r="C41" s="26">
        <f t="shared" si="0"/>
        <v>16</v>
      </c>
      <c r="D41" s="26">
        <f t="shared" si="3"/>
        <v>41</v>
      </c>
      <c r="E41" s="70">
        <f>+IF($G$13="H",(VLOOKUP(D41,'CSO2001'!_xlnm.Print_Area,11)-VLOOKUP($G$14+$G$15,'CSO2001'!_xlnm.Print_Area,11))/VLOOKUP(D41,'CSO2001'!_xlnm.Print_Area,8)*$G$11,(VLOOKUP(D41-3,'CSO2001'!_xlnm.Print_Area,11)-VLOOKUP($G$14+$G$15-3,'CSO2001'!_xlnm.Print_Area,11))/VLOOKUP(D41-3,'CSO2001'!_xlnm.Print_Area,8)*$G$11)</f>
        <v>12.222926329786004</v>
      </c>
      <c r="F41" s="68">
        <f t="shared" si="1"/>
        <v>2.0991169417593096</v>
      </c>
      <c r="G41" s="68">
        <f>+IF($G$13="H",(VLOOKUP(D41,'CSO2001'!_xlnm.Print_Area,9)-VLOOKUP($G$14+$G$15,'CSO2001'!_xlnm.Print_Area,9))/VLOOKUP(D41,'CSO2001'!_xlnm.Print_Area,8),(VLOOKUP(D41-3,'CSO2001'!_xlnm.Print_Area,9)-VLOOKUP($G$14+$G$15-3,'CSO2001'!_xlnm.Print_Area,9))/VLOOKUP(D41-3,'CSO2001'!_xlnm.Print_Area,8))</f>
        <v>3.8115718051780076</v>
      </c>
      <c r="H41" s="68">
        <f t="shared" si="2"/>
        <v>4.2219913788047343</v>
      </c>
      <c r="I41" s="57">
        <v>0.95</v>
      </c>
      <c r="J41" s="68">
        <f t="shared" si="4"/>
        <v>4.0108918098644972</v>
      </c>
      <c r="K41" s="68">
        <f>J41*(VLOOKUP(D41,'CSO2001'!_xlnm.Print_Area,8)-VLOOKUP($G$14+$G$15,'CSO2001'!_xlnm.Print_Area,8))/(VLOOKUP(D41,'CSO2001'!_xlnm.Print_Area,11)-VLOOKUP($G$14+$G$15,'CSO2001'!_xlnm.Print_Area,11))</f>
        <v>40.440448722657266</v>
      </c>
    </row>
    <row r="42" spans="2:11" x14ac:dyDescent="0.2">
      <c r="B42" s="144"/>
      <c r="C42" s="26">
        <f t="shared" si="0"/>
        <v>17</v>
      </c>
      <c r="D42" s="26">
        <f t="shared" si="3"/>
        <v>42</v>
      </c>
      <c r="E42" s="70">
        <f>+IF($G$13="H",(VLOOKUP(D42,'CSO2001'!_xlnm.Print_Area,11)-VLOOKUP($G$14+$G$15,'CSO2001'!_xlnm.Print_Area,11))/VLOOKUP(D42,'CSO2001'!_xlnm.Print_Area,8)*$G$11,(VLOOKUP(D42-3,'CSO2001'!_xlnm.Print_Area,11)-VLOOKUP($G$14+$G$15-3,'CSO2001'!_xlnm.Print_Area,11))/VLOOKUP(D42-3,'CSO2001'!_xlnm.Print_Area,8)*$G$11)</f>
        <v>9.7535482819590502</v>
      </c>
      <c r="F42" s="68">
        <f t="shared" si="1"/>
        <v>2.0991169417593096</v>
      </c>
      <c r="G42" s="68">
        <f>+IF($G$13="H",(VLOOKUP(D42,'CSO2001'!_xlnm.Print_Area,9)-VLOOKUP($G$14+$G$15,'CSO2001'!_xlnm.Print_Area,9))/VLOOKUP(D42,'CSO2001'!_xlnm.Print_Area,8),(VLOOKUP(D42-3,'CSO2001'!_xlnm.Print_Area,9)-VLOOKUP($G$14+$G$15-3,'CSO2001'!_xlnm.Print_Area,9))/VLOOKUP(D42-3,'CSO2001'!_xlnm.Print_Area,8))</f>
        <v>2.9042366932227357</v>
      </c>
      <c r="H42" s="68">
        <f t="shared" si="2"/>
        <v>3.6572158363361709</v>
      </c>
      <c r="I42" s="57">
        <v>0.95</v>
      </c>
      <c r="J42" s="68">
        <f t="shared" si="4"/>
        <v>3.4743550445193621</v>
      </c>
      <c r="K42" s="68">
        <f>J42*(VLOOKUP(D42,'CSO2001'!_xlnm.Print_Area,8)-VLOOKUP($G$14+$G$15,'CSO2001'!_xlnm.Print_Area,8))/(VLOOKUP(D42,'CSO2001'!_xlnm.Print_Area,11)-VLOOKUP($G$14+$G$15,'CSO2001'!_xlnm.Print_Area,11))</f>
        <v>33.606329943407786</v>
      </c>
    </row>
    <row r="43" spans="2:11" x14ac:dyDescent="0.2">
      <c r="B43" s="144"/>
      <c r="C43" s="26">
        <f t="shared" si="0"/>
        <v>18</v>
      </c>
      <c r="D43" s="26">
        <f t="shared" si="3"/>
        <v>43</v>
      </c>
      <c r="E43" s="70">
        <f>+IF($G$13="H",(VLOOKUP(D43,'CSO2001'!_xlnm.Print_Area,11)-VLOOKUP($G$14+$G$15,'CSO2001'!_xlnm.Print_Area,11))/VLOOKUP(D43,'CSO2001'!_xlnm.Print_Area,8)*$G$11,(VLOOKUP(D43-3,'CSO2001'!_xlnm.Print_Area,11)-VLOOKUP($G$14+$G$15-3,'CSO2001'!_xlnm.Print_Area,11))/VLOOKUP(D43-3,'CSO2001'!_xlnm.Print_Area,8)*$G$11)</f>
        <v>6.9318931473278322</v>
      </c>
      <c r="F43" s="68">
        <f t="shared" si="1"/>
        <v>2.0991169417593096</v>
      </c>
      <c r="G43" s="68">
        <f>+IF($G$13="H",(VLOOKUP(D43,'CSO2001'!_xlnm.Print_Area,9)-VLOOKUP($G$14+$G$15,'CSO2001'!_xlnm.Print_Area,9))/VLOOKUP(D43,'CSO2001'!_xlnm.Print_Area,8),(VLOOKUP(D43-3,'CSO2001'!_xlnm.Print_Area,9)-VLOOKUP($G$14+$G$15-3,'CSO2001'!_xlnm.Print_Area,9))/VLOOKUP(D43-3,'CSO2001'!_xlnm.Print_Area,8))</f>
        <v>1.967533980582524</v>
      </c>
      <c r="H43" s="68">
        <f t="shared" si="2"/>
        <v>2.8018092351999231</v>
      </c>
      <c r="I43" s="57">
        <v>0.95</v>
      </c>
      <c r="J43" s="68">
        <f t="shared" si="4"/>
        <v>2.6617187734399268</v>
      </c>
      <c r="K43" s="68">
        <f>J43*(VLOOKUP(D43,'CSO2001'!_xlnm.Print_Area,8)-VLOOKUP($G$14+$G$15,'CSO2001'!_xlnm.Print_Area,8))/(VLOOKUP(D43,'CSO2001'!_xlnm.Print_Area,11)-VLOOKUP($G$14+$G$15,'CSO2001'!_xlnm.Print_Area,11))</f>
        <v>24.666475916342478</v>
      </c>
    </row>
    <row r="44" spans="2:11" x14ac:dyDescent="0.2">
      <c r="B44" s="144"/>
      <c r="C44" s="26">
        <f t="shared" si="0"/>
        <v>19</v>
      </c>
      <c r="D44" s="26">
        <f t="shared" si="3"/>
        <v>44</v>
      </c>
      <c r="E44" s="70">
        <f>+IF($G$13="H",(VLOOKUP(D44,'CSO2001'!_xlnm.Print_Area,11)-VLOOKUP($G$14+$G$15,'CSO2001'!_xlnm.Print_Area,11))/VLOOKUP(D44,'CSO2001'!_xlnm.Print_Area,8)*$G$11,(VLOOKUP(D44-3,'CSO2001'!_xlnm.Print_Area,11)-VLOOKUP($G$14+$G$15-3,'CSO2001'!_xlnm.Print_Area,11))/VLOOKUP(D44-3,'CSO2001'!_xlnm.Print_Area,8)*$G$11)</f>
        <v>3.7126213592233972</v>
      </c>
      <c r="F44" s="68">
        <f t="shared" si="1"/>
        <v>2.0991169417593096</v>
      </c>
      <c r="G44" s="68">
        <f>+IF($G$13="H",(VLOOKUP(D44,'CSO2001'!_xlnm.Print_Area,9)-VLOOKUP($G$14+$G$15,'CSO2001'!_xlnm.Print_Area,9))/VLOOKUP(D44,'CSO2001'!_xlnm.Print_Area,8),(VLOOKUP(D44-3,'CSO2001'!_xlnm.Print_Area,9)-VLOOKUP($G$14+$G$15-3,'CSO2001'!_xlnm.Print_Area,9))/VLOOKUP(D44-3,'CSO2001'!_xlnm.Print_Area,8))</f>
        <v>0.99999999999999922</v>
      </c>
      <c r="H44" s="68">
        <f t="shared" si="2"/>
        <v>1.6135044174640893</v>
      </c>
      <c r="I44" s="57">
        <v>0.95</v>
      </c>
      <c r="J44" s="68">
        <f t="shared" si="4"/>
        <v>1.5328291965908849</v>
      </c>
      <c r="K44" s="68">
        <f>J44*(VLOOKUP(D44,'CSO2001'!_xlnm.Print_Area,8)-VLOOKUP($G$14+$G$15,'CSO2001'!_xlnm.Print_Area,8))/(VLOOKUP(D44,'CSO2001'!_xlnm.Print_Area,11)-VLOOKUP($G$14+$G$15,'CSO2001'!_xlnm.Print_Area,11))</f>
        <v>13.558162851853822</v>
      </c>
    </row>
    <row r="45" spans="2:11" x14ac:dyDescent="0.2">
      <c r="B45" s="144"/>
      <c r="C45" s="26">
        <f t="shared" si="0"/>
        <v>20</v>
      </c>
      <c r="D45" s="26">
        <f t="shared" si="3"/>
        <v>45</v>
      </c>
      <c r="E45" s="70">
        <f>+IF($G$13="H",(VLOOKUP(D45,'CSO2001'!_xlnm.Print_Area,11)-VLOOKUP($G$14+$G$15,'CSO2001'!_xlnm.Print_Area,11))/VLOOKUP(D45,'CSO2001'!_xlnm.Print_Area,8)*$G$11,(VLOOKUP(D45-3,'CSO2001'!_xlnm.Print_Area,11)-VLOOKUP($G$14+$G$15-3,'CSO2001'!_xlnm.Print_Area,11))/VLOOKUP(D45-3,'CSO2001'!_xlnm.Print_Area,8)*$G$11)</f>
        <v>0</v>
      </c>
      <c r="F45" s="68">
        <f t="shared" si="1"/>
        <v>2.0991169417593096</v>
      </c>
      <c r="G45" s="68">
        <f>+IF($G$13="H",(VLOOKUP(D45,'CSO2001'!_xlnm.Print_Area,9)-VLOOKUP($G$14+$G$15,'CSO2001'!_xlnm.Print_Area,9))/VLOOKUP(D45,'CSO2001'!_xlnm.Print_Area,8),(VLOOKUP(D45-3,'CSO2001'!_xlnm.Print_Area,9)-VLOOKUP($G$14+$G$15-3,'CSO2001'!_xlnm.Print_Area,9))/VLOOKUP(D45-3,'CSO2001'!_xlnm.Print_Area,8))</f>
        <v>0</v>
      </c>
      <c r="H45" s="68">
        <f t="shared" si="2"/>
        <v>0</v>
      </c>
      <c r="I45" s="57">
        <v>0.95</v>
      </c>
      <c r="J45" s="68">
        <f t="shared" si="4"/>
        <v>0</v>
      </c>
      <c r="K45" s="68"/>
    </row>
    <row r="46" spans="2:11" x14ac:dyDescent="0.2">
      <c r="E46" s="68"/>
      <c r="F46" s="68"/>
      <c r="G46" s="68"/>
      <c r="H46" s="68"/>
      <c r="I46" s="25"/>
      <c r="J46" s="68"/>
      <c r="K46" s="68"/>
    </row>
    <row r="47" spans="2:11" x14ac:dyDescent="0.2">
      <c r="C47" s="26"/>
      <c r="D47" s="26"/>
      <c r="E47" s="71"/>
      <c r="F47" s="71"/>
      <c r="G47" s="71"/>
      <c r="H47" s="71"/>
      <c r="I47" s="61"/>
      <c r="J47" s="71"/>
      <c r="K47" s="71"/>
    </row>
    <row r="48" spans="2:11" x14ac:dyDescent="0.2">
      <c r="B48" s="144">
        <f>G36</f>
        <v>7.9472286584009328</v>
      </c>
      <c r="C48" s="26">
        <v>1</v>
      </c>
      <c r="D48" s="26">
        <v>20</v>
      </c>
      <c r="E48" s="70">
        <v>24.082289368662789</v>
      </c>
      <c r="F48" s="68">
        <v>1.6207053362757424</v>
      </c>
      <c r="G48" s="68">
        <v>14.55933230823157</v>
      </c>
      <c r="H48" s="68">
        <v>0</v>
      </c>
      <c r="I48" s="57">
        <v>0</v>
      </c>
      <c r="J48" s="68">
        <v>0</v>
      </c>
      <c r="K48" s="68">
        <v>0</v>
      </c>
    </row>
    <row r="49" spans="2:11" x14ac:dyDescent="0.2">
      <c r="B49" s="144"/>
      <c r="C49" s="26">
        <v>2</v>
      </c>
      <c r="D49" s="26">
        <v>21</v>
      </c>
      <c r="E49" s="70">
        <v>23.445394038223881</v>
      </c>
      <c r="F49" s="68">
        <v>1.6207053362757424</v>
      </c>
      <c r="G49" s="68">
        <v>13.985580205124052</v>
      </c>
      <c r="H49" s="68">
        <v>0.77888956886693705</v>
      </c>
      <c r="I49" s="57">
        <v>0.95</v>
      </c>
      <c r="J49" s="68">
        <v>0.73994509042359013</v>
      </c>
      <c r="K49" s="68">
        <v>12.921551376006279</v>
      </c>
    </row>
    <row r="50" spans="2:11" x14ac:dyDescent="0.2">
      <c r="B50" s="144"/>
      <c r="C50" s="26">
        <v>3</v>
      </c>
      <c r="D50" s="26">
        <v>22</v>
      </c>
      <c r="E50" s="70">
        <v>22.67886487213827</v>
      </c>
      <c r="F50" s="68">
        <v>1.6207053362757424</v>
      </c>
      <c r="G50" s="68">
        <v>13.395294133654794</v>
      </c>
      <c r="H50" s="68">
        <v>0.96904018874079867</v>
      </c>
      <c r="I50" s="57">
        <v>0.95</v>
      </c>
      <c r="J50" s="68">
        <v>0.92058817930375869</v>
      </c>
      <c r="K50" s="68">
        <v>15.934964884604131</v>
      </c>
    </row>
    <row r="51" spans="2:11" x14ac:dyDescent="0.2">
      <c r="B51" s="144"/>
      <c r="C51" s="26">
        <v>4</v>
      </c>
      <c r="D51" s="26">
        <v>23</v>
      </c>
      <c r="E51" s="70">
        <v>21.82545312880843</v>
      </c>
      <c r="F51" s="68">
        <v>1.6207053362757424</v>
      </c>
      <c r="G51" s="68">
        <v>12.787203292426955</v>
      </c>
      <c r="H51" s="68">
        <v>1.1011645167293196</v>
      </c>
      <c r="I51" s="57">
        <v>0.95</v>
      </c>
      <c r="J51" s="68">
        <v>1.0461062908928536</v>
      </c>
      <c r="K51" s="68">
        <v>17.95372584883248</v>
      </c>
    </row>
    <row r="52" spans="2:11" x14ac:dyDescent="0.2">
      <c r="B52" s="144"/>
      <c r="C52" s="26">
        <v>5</v>
      </c>
      <c r="D52" s="26">
        <v>24</v>
      </c>
      <c r="E52" s="70">
        <v>20.913678608446201</v>
      </c>
      <c r="F52" s="68">
        <v>1.6207053362757424</v>
      </c>
      <c r="G52" s="68">
        <v>12.160275832531822</v>
      </c>
      <c r="H52" s="68">
        <v>1.2054546760769327</v>
      </c>
      <c r="I52" s="57">
        <v>0.95</v>
      </c>
      <c r="J52" s="68">
        <v>1.145181942273086</v>
      </c>
      <c r="K52" s="68">
        <v>19.479570579802797</v>
      </c>
    </row>
    <row r="53" spans="2:11" x14ac:dyDescent="0.2">
      <c r="B53" s="144"/>
      <c r="C53" s="26">
        <v>6</v>
      </c>
      <c r="D53" s="26">
        <v>25</v>
      </c>
      <c r="E53" s="70">
        <v>19.973045840043639</v>
      </c>
      <c r="F53" s="68">
        <v>1.6207053362757424</v>
      </c>
      <c r="G53" s="68">
        <v>11.513505716654416</v>
      </c>
      <c r="H53" s="68">
        <v>1.3130456858205619</v>
      </c>
      <c r="I53" s="57">
        <v>0.95</v>
      </c>
      <c r="J53" s="68">
        <v>1.2473934015295338</v>
      </c>
      <c r="K53" s="68">
        <v>21.034686590356031</v>
      </c>
    </row>
    <row r="54" spans="2:11" x14ac:dyDescent="0.2">
      <c r="B54" s="144"/>
      <c r="C54" s="26">
        <v>7</v>
      </c>
      <c r="D54" s="26">
        <v>26</v>
      </c>
      <c r="E54" s="70">
        <v>18.971198210724861</v>
      </c>
      <c r="F54" s="68">
        <v>1.6207053362757424</v>
      </c>
      <c r="G54" s="68">
        <v>10.846612559851728</v>
      </c>
      <c r="H54" s="68">
        <v>1.3920353544576756</v>
      </c>
      <c r="I54" s="57">
        <v>0.95</v>
      </c>
      <c r="J54" s="68">
        <v>1.3224335867347918</v>
      </c>
      <c r="K54" s="68">
        <v>22.112603258013653</v>
      </c>
    </row>
    <row r="55" spans="2:11" x14ac:dyDescent="0.2">
      <c r="B55" s="144"/>
      <c r="C55" s="26">
        <v>8</v>
      </c>
      <c r="D55" s="26">
        <v>27</v>
      </c>
      <c r="E55" s="70">
        <v>17.921869397814184</v>
      </c>
      <c r="F55" s="68">
        <v>1.6207053362757424</v>
      </c>
      <c r="G55" s="68">
        <v>10.15875256086759</v>
      </c>
      <c r="H55" s="68">
        <v>1.457524912511218</v>
      </c>
      <c r="I55" s="57">
        <v>0.95</v>
      </c>
      <c r="J55" s="68">
        <v>1.384648666885657</v>
      </c>
      <c r="K55" s="68">
        <v>23.018985340241549</v>
      </c>
    </row>
    <row r="56" spans="2:11" x14ac:dyDescent="0.2">
      <c r="B56" s="144"/>
      <c r="C56" s="26">
        <v>9</v>
      </c>
      <c r="D56" s="26">
        <v>28</v>
      </c>
      <c r="E56" s="70">
        <v>16.807762520783495</v>
      </c>
      <c r="F56" s="68">
        <v>1.6207053362757424</v>
      </c>
      <c r="G56" s="68">
        <v>9.4493901130835987</v>
      </c>
      <c r="H56" s="68">
        <v>1.493085539957665</v>
      </c>
      <c r="I56" s="57">
        <v>0.95</v>
      </c>
      <c r="J56" s="68">
        <v>1.4184312629597817</v>
      </c>
      <c r="K56" s="68">
        <v>23.520160825114861</v>
      </c>
    </row>
    <row r="57" spans="2:11" x14ac:dyDescent="0.2">
      <c r="B57" s="144"/>
      <c r="C57" s="26">
        <v>10</v>
      </c>
      <c r="D57" s="26">
        <v>29</v>
      </c>
      <c r="E57" s="70">
        <v>15.626748389650075</v>
      </c>
      <c r="F57" s="68">
        <v>1.6207053362757424</v>
      </c>
      <c r="G57" s="68">
        <v>8.7177966843997989</v>
      </c>
      <c r="H57" s="68">
        <v>1.4977687826763457</v>
      </c>
      <c r="I57" s="57">
        <v>0.95</v>
      </c>
      <c r="J57" s="68">
        <v>1.4228803435425283</v>
      </c>
      <c r="K57" s="68">
        <v>23.521484142517451</v>
      </c>
    </row>
    <row r="58" spans="2:11" x14ac:dyDescent="0.2">
      <c r="B58" s="144"/>
      <c r="C58" s="26">
        <v>11</v>
      </c>
      <c r="D58" s="26">
        <v>30</v>
      </c>
      <c r="E58" s="70">
        <v>14.329228819383921</v>
      </c>
      <c r="F58" s="68">
        <v>1.6207053362757424</v>
      </c>
      <c r="G58" s="68">
        <v>7.9636013585663425</v>
      </c>
      <c r="H58" s="68">
        <v>1.422577601582697</v>
      </c>
      <c r="I58" s="57">
        <v>0.95</v>
      </c>
      <c r="J58" s="68">
        <v>1.351448721503562</v>
      </c>
      <c r="K58" s="68">
        <v>22.2124199898802</v>
      </c>
    </row>
    <row r="59" spans="2:11" x14ac:dyDescent="0.2">
      <c r="B59" s="144"/>
      <c r="C59" s="26">
        <v>12</v>
      </c>
      <c r="D59" s="26">
        <v>31</v>
      </c>
      <c r="E59" s="70">
        <v>12.911275591873441</v>
      </c>
      <c r="F59" s="68">
        <v>1.6207053362757424</v>
      </c>
      <c r="G59" s="68">
        <v>7.1859615192874386</v>
      </c>
      <c r="H59" s="68">
        <v>1.2649494112921484</v>
      </c>
      <c r="I59" s="57">
        <v>0.95</v>
      </c>
      <c r="J59" s="68">
        <v>1.2017019407275409</v>
      </c>
      <c r="K59" s="68">
        <v>19.588810308760561</v>
      </c>
    </row>
    <row r="60" spans="2:11" x14ac:dyDescent="0.2">
      <c r="B60" s="144"/>
      <c r="C60" s="26">
        <v>13</v>
      </c>
      <c r="D60" s="26">
        <v>32</v>
      </c>
      <c r="E60" s="70">
        <v>11.448044599119187</v>
      </c>
      <c r="F60" s="68">
        <v>1.6207053362757424</v>
      </c>
      <c r="G60" s="68">
        <v>6.383490258630216</v>
      </c>
      <c r="H60" s="68">
        <v>1.1022878728929779</v>
      </c>
      <c r="I60" s="57">
        <v>0.95</v>
      </c>
      <c r="J60" s="68">
        <v>1.0471734792483289</v>
      </c>
      <c r="K60" s="68">
        <v>16.870658696544361</v>
      </c>
    </row>
    <row r="61" spans="2:11" x14ac:dyDescent="0.2">
      <c r="B61" s="144"/>
      <c r="C61" s="26">
        <v>14</v>
      </c>
      <c r="D61" s="26">
        <v>33</v>
      </c>
      <c r="E61" s="70">
        <v>9.9698304250749104</v>
      </c>
      <c r="F61" s="68">
        <v>1.6207053362757424</v>
      </c>
      <c r="G61" s="68">
        <v>5.5552165648684761</v>
      </c>
      <c r="H61" s="68">
        <v>0.96646129422517291</v>
      </c>
      <c r="I61" s="57">
        <v>0.95</v>
      </c>
      <c r="J61" s="68">
        <v>0.91813822951391422</v>
      </c>
      <c r="K61" s="68">
        <v>14.565316450919186</v>
      </c>
    </row>
    <row r="62" spans="2:11" x14ac:dyDescent="0.2">
      <c r="B62" s="144"/>
      <c r="C62" s="26">
        <v>15</v>
      </c>
      <c r="D62" s="26">
        <v>34</v>
      </c>
      <c r="E62" s="70">
        <v>8.4603570290480992</v>
      </c>
      <c r="F62" s="68">
        <v>1.6207053362757424</v>
      </c>
      <c r="G62" s="68">
        <v>4.7004466765525637</v>
      </c>
      <c r="H62" s="68">
        <v>0.84231801747978086</v>
      </c>
      <c r="I62" s="57">
        <v>0.95</v>
      </c>
      <c r="J62" s="68">
        <v>0.80020211660579177</v>
      </c>
      <c r="K62" s="68">
        <v>12.46803367443138</v>
      </c>
    </row>
    <row r="63" spans="2:11" x14ac:dyDescent="0.2">
      <c r="B63" s="144"/>
      <c r="C63" s="26">
        <v>16</v>
      </c>
      <c r="D63" s="26">
        <v>35</v>
      </c>
      <c r="E63" s="70">
        <v>6.9186767074065809</v>
      </c>
      <c r="F63" s="68">
        <v>1.6207053362757424</v>
      </c>
      <c r="G63" s="68">
        <v>3.8183636783796429</v>
      </c>
      <c r="H63" s="68">
        <v>0.73023431801522065</v>
      </c>
      <c r="I63" s="57">
        <v>0.95</v>
      </c>
      <c r="J63" s="68">
        <v>0.69372260211445957</v>
      </c>
      <c r="K63" s="68">
        <v>10.588655178658437</v>
      </c>
    </row>
    <row r="64" spans="2:11" x14ac:dyDescent="0.2">
      <c r="B64" s="144"/>
      <c r="C64" s="26">
        <v>17</v>
      </c>
      <c r="D64" s="26">
        <v>36</v>
      </c>
      <c r="E64" s="70">
        <v>5.3278697972221352</v>
      </c>
      <c r="F64" s="68">
        <v>1.6207053362757424</v>
      </c>
      <c r="G64" s="68">
        <v>2.9081725647280612</v>
      </c>
      <c r="H64" s="68">
        <v>0.61457900275665445</v>
      </c>
      <c r="I64" s="57">
        <v>0.95</v>
      </c>
      <c r="J64" s="68">
        <v>0.58385005261882172</v>
      </c>
      <c r="K64" s="68">
        <v>8.682995914039628</v>
      </c>
    </row>
    <row r="65" spans="2:11" x14ac:dyDescent="0.2">
      <c r="B65" s="144"/>
      <c r="C65" s="26">
        <v>18</v>
      </c>
      <c r="D65" s="26">
        <v>37</v>
      </c>
      <c r="E65" s="70">
        <v>3.6544300424168221</v>
      </c>
      <c r="F65" s="68">
        <v>1.6207053362757424</v>
      </c>
      <c r="G65" s="68">
        <v>1.9690407766990281</v>
      </c>
      <c r="H65" s="68">
        <v>0.4631951482761747</v>
      </c>
      <c r="I65" s="57">
        <v>0.95</v>
      </c>
      <c r="J65" s="68">
        <v>0.44003539086236593</v>
      </c>
      <c r="K65" s="68">
        <v>6.3791509961176605</v>
      </c>
    </row>
    <row r="66" spans="2:11" x14ac:dyDescent="0.2">
      <c r="B66" s="144"/>
      <c r="C66" s="26">
        <v>19</v>
      </c>
      <c r="D66" s="26">
        <v>38</v>
      </c>
      <c r="E66" s="70">
        <v>1.8796116504854534</v>
      </c>
      <c r="F66" s="68">
        <v>1.6207053362757424</v>
      </c>
      <c r="G66" s="68">
        <v>1.0000000000000004</v>
      </c>
      <c r="H66" s="68">
        <v>0.25890631420971033</v>
      </c>
      <c r="I66" s="57">
        <v>0.95</v>
      </c>
      <c r="J66" s="68">
        <v>0.24596099849922481</v>
      </c>
      <c r="K66" s="68">
        <v>3.4485781664578621</v>
      </c>
    </row>
    <row r="67" spans="2:11" x14ac:dyDescent="0.2">
      <c r="B67" s="144"/>
      <c r="C67" s="26">
        <v>20</v>
      </c>
      <c r="D67" s="26">
        <v>39</v>
      </c>
      <c r="E67" s="70">
        <v>0</v>
      </c>
      <c r="F67" s="68">
        <v>1.6207053362757424</v>
      </c>
      <c r="G67" s="68">
        <v>0</v>
      </c>
      <c r="H67" s="68">
        <v>0</v>
      </c>
      <c r="I67" s="57">
        <v>0.95</v>
      </c>
      <c r="J67" s="68">
        <v>0</v>
      </c>
      <c r="K67" s="68"/>
    </row>
    <row r="68" spans="2:11" x14ac:dyDescent="0.2">
      <c r="C68" s="26"/>
      <c r="D68" s="26"/>
      <c r="E68" s="71"/>
      <c r="F68" s="71"/>
      <c r="G68" s="71"/>
      <c r="H68" s="71"/>
      <c r="I68" s="61"/>
      <c r="J68" s="71"/>
      <c r="K68" s="71"/>
    </row>
    <row r="69" spans="2:11" x14ac:dyDescent="0.2">
      <c r="C69" s="26"/>
      <c r="D69" s="26"/>
      <c r="E69" s="71"/>
      <c r="F69" s="71"/>
      <c r="G69" s="71"/>
      <c r="H69" s="71"/>
      <c r="I69" s="61"/>
      <c r="J69" s="71"/>
      <c r="K69" s="71"/>
    </row>
    <row r="70" spans="2:11" x14ac:dyDescent="0.2">
      <c r="B70" s="144">
        <v>29</v>
      </c>
      <c r="C70" s="26">
        <v>1</v>
      </c>
      <c r="D70" s="26">
        <v>21</v>
      </c>
      <c r="E70" s="70">
        <v>24.577177712648609</v>
      </c>
      <c r="F70" s="68">
        <v>1.6662867663445136</v>
      </c>
      <c r="G70" s="68">
        <v>14.554787814820079</v>
      </c>
      <c r="H70" s="68">
        <v>0</v>
      </c>
      <c r="I70" s="57">
        <v>0</v>
      </c>
      <c r="J70" s="68">
        <v>0</v>
      </c>
      <c r="K70" s="68">
        <v>0</v>
      </c>
    </row>
    <row r="71" spans="2:11" x14ac:dyDescent="0.2">
      <c r="B71" s="144"/>
      <c r="C71" s="26">
        <v>2</v>
      </c>
      <c r="D71" s="26">
        <v>22</v>
      </c>
      <c r="E71" s="70">
        <v>23.846357966409528</v>
      </c>
      <c r="F71" s="68">
        <v>1.6662867663445136</v>
      </c>
      <c r="G71" s="68">
        <v>13.982461070715038</v>
      </c>
      <c r="H71" s="68">
        <v>0.54756812334972338</v>
      </c>
      <c r="I71" s="57">
        <v>0.95</v>
      </c>
      <c r="J71" s="68">
        <v>0.52018971718223717</v>
      </c>
      <c r="K71" s="68">
        <v>8.8851076869567702</v>
      </c>
    </row>
    <row r="72" spans="2:11" x14ac:dyDescent="0.2">
      <c r="B72" s="144"/>
      <c r="C72" s="26">
        <v>3</v>
      </c>
      <c r="D72" s="26">
        <v>23</v>
      </c>
      <c r="E72" s="70">
        <v>23.029859525137265</v>
      </c>
      <c r="F72" s="68">
        <v>1.6662867663445136</v>
      </c>
      <c r="G72" s="68">
        <v>13.392935024955614</v>
      </c>
      <c r="H72" s="68">
        <v>0.71338913054179898</v>
      </c>
      <c r="I72" s="57">
        <v>0.95</v>
      </c>
      <c r="J72" s="68">
        <v>0.67771967401470901</v>
      </c>
      <c r="K72" s="68">
        <v>11.471622455750476</v>
      </c>
    </row>
    <row r="73" spans="2:11" x14ac:dyDescent="0.2">
      <c r="B73" s="144"/>
      <c r="C73" s="26">
        <v>4</v>
      </c>
      <c r="D73" s="26">
        <v>24</v>
      </c>
      <c r="E73" s="70">
        <v>22.156205239274232</v>
      </c>
      <c r="F73" s="68">
        <v>1.6662867663445136</v>
      </c>
      <c r="G73" s="68">
        <v>12.785179362684584</v>
      </c>
      <c r="H73" s="68">
        <v>0.85243006189192982</v>
      </c>
      <c r="I73" s="57">
        <v>0.95</v>
      </c>
      <c r="J73" s="68">
        <v>0.80980855879733327</v>
      </c>
      <c r="K73" s="68">
        <v>13.578502366985976</v>
      </c>
    </row>
    <row r="74" spans="2:11" x14ac:dyDescent="0.2">
      <c r="B74" s="144"/>
      <c r="C74" s="26">
        <v>5</v>
      </c>
      <c r="D74" s="26">
        <v>25</v>
      </c>
      <c r="E74" s="70">
        <v>21.254899235228805</v>
      </c>
      <c r="F74" s="68">
        <v>1.6662867663445136</v>
      </c>
      <c r="G74" s="68">
        <v>12.1581878441157</v>
      </c>
      <c r="H74" s="68">
        <v>0.99587172784808331</v>
      </c>
      <c r="I74" s="57">
        <v>0.95</v>
      </c>
      <c r="J74" s="68">
        <v>0.94607814145567914</v>
      </c>
      <c r="K74" s="68">
        <v>15.716656599380578</v>
      </c>
    </row>
    <row r="75" spans="2:11" x14ac:dyDescent="0.2">
      <c r="B75" s="144"/>
      <c r="C75" s="26">
        <v>6</v>
      </c>
      <c r="D75" s="26">
        <v>26</v>
      </c>
      <c r="E75" s="70">
        <v>20.2936654743398</v>
      </c>
      <c r="F75" s="68">
        <v>1.6662867663445136</v>
      </c>
      <c r="G75" s="68">
        <v>11.511720607470563</v>
      </c>
      <c r="H75" s="68">
        <v>1.1118377682561764</v>
      </c>
      <c r="I75" s="57">
        <v>0.95</v>
      </c>
      <c r="J75" s="68">
        <v>1.0562458798433676</v>
      </c>
      <c r="K75" s="68">
        <v>17.387110926665326</v>
      </c>
    </row>
    <row r="76" spans="2:11" x14ac:dyDescent="0.2">
      <c r="B76" s="144"/>
      <c r="C76" s="26">
        <v>7</v>
      </c>
      <c r="D76" s="26">
        <v>27</v>
      </c>
      <c r="E76" s="70">
        <v>19.286259193721225</v>
      </c>
      <c r="F76" s="68">
        <v>1.6662867663445136</v>
      </c>
      <c r="G76" s="68">
        <v>10.844944694551302</v>
      </c>
      <c r="H76" s="68">
        <v>1.215471367452249</v>
      </c>
      <c r="I76" s="57">
        <v>0.95</v>
      </c>
      <c r="J76" s="68">
        <v>1.1546977990796365</v>
      </c>
      <c r="K76" s="68">
        <v>18.87877546145295</v>
      </c>
    </row>
    <row r="77" spans="2:11" x14ac:dyDescent="0.2">
      <c r="B77" s="144"/>
      <c r="C77" s="26">
        <v>8</v>
      </c>
      <c r="D77" s="26">
        <v>28</v>
      </c>
      <c r="E77" s="70">
        <v>18.215448923724686</v>
      </c>
      <c r="F77" s="68">
        <v>1.6662867663445136</v>
      </c>
      <c r="G77" s="68">
        <v>10.157357395812806</v>
      </c>
      <c r="H77" s="68">
        <v>1.2903787140502381</v>
      </c>
      <c r="I77" s="57">
        <v>0.95</v>
      </c>
      <c r="J77" s="68">
        <v>1.2258597783477261</v>
      </c>
      <c r="K77" s="68">
        <v>19.961913384833672</v>
      </c>
    </row>
    <row r="78" spans="2:11" x14ac:dyDescent="0.2">
      <c r="B78" s="144"/>
      <c r="C78" s="26">
        <v>9</v>
      </c>
      <c r="D78" s="26">
        <v>29</v>
      </c>
      <c r="E78" s="70">
        <v>17.079151899488348</v>
      </c>
      <c r="F78" s="68">
        <v>1.6662867663445136</v>
      </c>
      <c r="G78" s="68">
        <v>9.4482535277266582</v>
      </c>
      <c r="H78" s="68">
        <v>1.3356520811695525</v>
      </c>
      <c r="I78" s="57">
        <v>0.95</v>
      </c>
      <c r="J78" s="68">
        <v>1.2688694771110749</v>
      </c>
      <c r="K78" s="68">
        <v>20.564740322699802</v>
      </c>
    </row>
    <row r="79" spans="2:11" x14ac:dyDescent="0.2">
      <c r="B79" s="144"/>
      <c r="C79" s="26">
        <v>10</v>
      </c>
      <c r="D79" s="26">
        <v>30</v>
      </c>
      <c r="E79" s="70">
        <v>15.827890035416473</v>
      </c>
      <c r="F79" s="68">
        <v>1.6662867663445136</v>
      </c>
      <c r="G79" s="68">
        <v>8.7173225756139576</v>
      </c>
      <c r="H79" s="68">
        <v>1.3023307897146648</v>
      </c>
      <c r="I79" s="57">
        <v>0.95</v>
      </c>
      <c r="J79" s="68">
        <v>1.2372142502289314</v>
      </c>
      <c r="K79" s="68">
        <v>19.902991354113425</v>
      </c>
    </row>
    <row r="80" spans="2:11" x14ac:dyDescent="0.2">
      <c r="B80" s="144"/>
      <c r="C80" s="26">
        <v>11</v>
      </c>
      <c r="D80" s="26">
        <v>31</v>
      </c>
      <c r="E80" s="70">
        <v>14.457791722583659</v>
      </c>
      <c r="F80" s="68">
        <v>1.6662867663445136</v>
      </c>
      <c r="G80" s="68">
        <v>7.9637503936192306</v>
      </c>
      <c r="H80" s="68">
        <v>1.1878998312250246</v>
      </c>
      <c r="I80" s="57">
        <v>0.95</v>
      </c>
      <c r="J80" s="68">
        <v>1.1285048396637734</v>
      </c>
      <c r="K80" s="68">
        <v>17.973621336973487</v>
      </c>
    </row>
    <row r="81" spans="2:11" x14ac:dyDescent="0.2">
      <c r="B81" s="144"/>
      <c r="C81" s="26">
        <v>12</v>
      </c>
      <c r="D81" s="26">
        <v>32</v>
      </c>
      <c r="E81" s="70">
        <v>13.043943736936706</v>
      </c>
      <c r="F81" s="68">
        <v>1.6662867663445136</v>
      </c>
      <c r="G81" s="68">
        <v>7.1861153132942928</v>
      </c>
      <c r="H81" s="68">
        <v>1.069814888968768</v>
      </c>
      <c r="I81" s="57">
        <v>0.95</v>
      </c>
      <c r="J81" s="68">
        <v>1.0163241445203295</v>
      </c>
      <c r="K81" s="68">
        <v>15.971263339825773</v>
      </c>
    </row>
    <row r="82" spans="2:11" x14ac:dyDescent="0.2">
      <c r="B82" s="144"/>
      <c r="C82" s="26">
        <v>13</v>
      </c>
      <c r="D82" s="26">
        <v>33</v>
      </c>
      <c r="E82" s="70">
        <v>11.616636660500136</v>
      </c>
      <c r="F82" s="68">
        <v>1.6662867663445136</v>
      </c>
      <c r="G82" s="68">
        <v>6.38344431022393</v>
      </c>
      <c r="H82" s="68">
        <v>0.97998788267682002</v>
      </c>
      <c r="I82" s="57">
        <v>0.95</v>
      </c>
      <c r="J82" s="68">
        <v>0.930988488542979</v>
      </c>
      <c r="K82" s="68">
        <v>14.384000949400432</v>
      </c>
    </row>
    <row r="83" spans="2:11" x14ac:dyDescent="0.2">
      <c r="B83" s="144"/>
      <c r="C83" s="26">
        <v>14</v>
      </c>
      <c r="D83" s="26">
        <v>34</v>
      </c>
      <c r="E83" s="70">
        <v>10.159666992910166</v>
      </c>
      <c r="F83" s="68">
        <v>1.6662867663445136</v>
      </c>
      <c r="G83" s="68">
        <v>5.5550801056433423</v>
      </c>
      <c r="H83" s="68">
        <v>0.90331052689298197</v>
      </c>
      <c r="I83" s="57">
        <v>0.95</v>
      </c>
      <c r="J83" s="68">
        <v>0.85814500054833287</v>
      </c>
      <c r="K83" s="68">
        <v>13.001926754162511</v>
      </c>
    </row>
    <row r="84" spans="2:11" x14ac:dyDescent="0.2">
      <c r="B84" s="144"/>
      <c r="C84" s="26">
        <v>15</v>
      </c>
      <c r="D84" s="26">
        <v>35</v>
      </c>
      <c r="E84" s="70">
        <v>8.6721362249923057</v>
      </c>
      <c r="F84" s="68">
        <v>1.6662867663445136</v>
      </c>
      <c r="G84" s="68">
        <v>4.7002305256029242</v>
      </c>
      <c r="H84" s="68">
        <v>0.84020430141163605</v>
      </c>
      <c r="I84" s="57">
        <v>0.95</v>
      </c>
      <c r="J84" s="68">
        <v>0.79819408634105415</v>
      </c>
      <c r="K84" s="68">
        <v>11.828514268909537</v>
      </c>
    </row>
    <row r="85" spans="2:11" x14ac:dyDescent="0.2">
      <c r="B85" s="144"/>
      <c r="C85" s="26">
        <v>16</v>
      </c>
      <c r="D85" s="26">
        <v>36</v>
      </c>
      <c r="E85" s="70">
        <v>7.1372043772561344</v>
      </c>
      <c r="F85" s="68">
        <v>1.6662867663445136</v>
      </c>
      <c r="G85" s="68">
        <v>3.8181406396474959</v>
      </c>
      <c r="H85" s="68">
        <v>0.77508715736933542</v>
      </c>
      <c r="I85" s="57">
        <v>0.95</v>
      </c>
      <c r="J85" s="68">
        <v>0.73633279950086861</v>
      </c>
      <c r="K85" s="68">
        <v>10.622535830595307</v>
      </c>
    </row>
    <row r="86" spans="2:11" x14ac:dyDescent="0.2">
      <c r="B86" s="144"/>
      <c r="C86" s="26">
        <v>17</v>
      </c>
      <c r="D86" s="26">
        <v>37</v>
      </c>
      <c r="E86" s="70">
        <v>5.5214800318323656</v>
      </c>
      <c r="F86" s="68">
        <v>1.6662867663445136</v>
      </c>
      <c r="G86" s="68">
        <v>2.9080356444226569</v>
      </c>
      <c r="H86" s="68">
        <v>0.6758587214727525</v>
      </c>
      <c r="I86" s="57">
        <v>0.95</v>
      </c>
      <c r="J86" s="68">
        <v>0.64206578539911485</v>
      </c>
      <c r="K86" s="68">
        <v>9.0146155117541156</v>
      </c>
    </row>
    <row r="87" spans="2:11" x14ac:dyDescent="0.2">
      <c r="B87" s="144"/>
      <c r="C87" s="26">
        <v>18</v>
      </c>
      <c r="D87" s="26">
        <v>38</v>
      </c>
      <c r="E87" s="70">
        <v>3.8063107474785864</v>
      </c>
      <c r="F87" s="68">
        <v>1.6662867663445136</v>
      </c>
      <c r="G87" s="68">
        <v>1.9689941747572801</v>
      </c>
      <c r="H87" s="68">
        <v>0.52540181107109429</v>
      </c>
      <c r="I87" s="57">
        <v>0.95</v>
      </c>
      <c r="J87" s="68">
        <v>0.49913172051753957</v>
      </c>
      <c r="K87" s="68">
        <v>6.7835113865761514</v>
      </c>
    </row>
    <row r="88" spans="2:11" x14ac:dyDescent="0.2">
      <c r="B88" s="144"/>
      <c r="C88" s="26">
        <v>19</v>
      </c>
      <c r="D88" s="26">
        <v>39</v>
      </c>
      <c r="E88" s="70">
        <v>1.9883495145631207</v>
      </c>
      <c r="F88" s="68">
        <v>1.6662867663445136</v>
      </c>
      <c r="G88" s="68">
        <v>0.999999999999998</v>
      </c>
      <c r="H88" s="68">
        <v>0.32206274821861047</v>
      </c>
      <c r="I88" s="57">
        <v>0.95</v>
      </c>
      <c r="J88" s="68">
        <v>0.30595961080767992</v>
      </c>
      <c r="K88" s="68">
        <v>4.0311172099271735</v>
      </c>
    </row>
    <row r="89" spans="2:11" x14ac:dyDescent="0.2">
      <c r="B89" s="144"/>
      <c r="C89" s="26">
        <v>20</v>
      </c>
      <c r="D89" s="26">
        <v>40</v>
      </c>
      <c r="E89" s="70">
        <v>0</v>
      </c>
      <c r="F89" s="68">
        <v>1.6662867663445136</v>
      </c>
      <c r="G89" s="68">
        <v>0</v>
      </c>
      <c r="H89" s="68">
        <v>0</v>
      </c>
      <c r="I89" s="57">
        <v>0.95</v>
      </c>
      <c r="J89" s="68">
        <v>0</v>
      </c>
      <c r="K89" s="68"/>
    </row>
    <row r="90" spans="2:11" x14ac:dyDescent="0.2">
      <c r="C90" s="26"/>
      <c r="D90" s="26"/>
      <c r="E90" s="71"/>
      <c r="F90" s="71"/>
      <c r="G90" s="71"/>
      <c r="H90" s="71"/>
      <c r="I90" s="61"/>
      <c r="J90" s="71"/>
      <c r="K90" s="71"/>
    </row>
    <row r="91" spans="2:11" x14ac:dyDescent="0.2">
      <c r="C91" s="26"/>
      <c r="D91" s="26"/>
      <c r="E91" s="71"/>
      <c r="F91" s="71"/>
      <c r="G91" s="71"/>
      <c r="H91" s="71"/>
      <c r="I91" s="61"/>
      <c r="J91" s="71"/>
      <c r="K91" s="71"/>
    </row>
    <row r="92" spans="2:11" x14ac:dyDescent="0.2">
      <c r="C92" s="26">
        <v>1</v>
      </c>
      <c r="D92" s="26">
        <v>22</v>
      </c>
      <c r="E92" s="70">
        <v>25.030548478905754</v>
      </c>
      <c r="F92" s="70">
        <v>1.7029434085606296</v>
      </c>
      <c r="G92" s="70">
        <v>14.551358565057905</v>
      </c>
      <c r="H92" s="70">
        <v>0</v>
      </c>
      <c r="I92" s="72">
        <v>0</v>
      </c>
      <c r="J92" s="70">
        <v>0</v>
      </c>
      <c r="K92" s="70">
        <v>0</v>
      </c>
    </row>
    <row r="93" spans="2:11" x14ac:dyDescent="0.2">
      <c r="C93" s="26">
        <v>2</v>
      </c>
      <c r="D93" s="26">
        <v>23</v>
      </c>
      <c r="E93" s="70">
        <v>24.251491271586815</v>
      </c>
      <c r="F93" s="70">
        <v>1.7029434085606296</v>
      </c>
      <c r="G93" s="70">
        <v>13.979819679266726</v>
      </c>
      <c r="H93" s="70">
        <v>0.44464949591336733</v>
      </c>
      <c r="I93" s="72">
        <v>0.95</v>
      </c>
      <c r="J93" s="70">
        <v>0.42241702111769897</v>
      </c>
      <c r="K93" s="70">
        <v>7.0387900128458947</v>
      </c>
    </row>
    <row r="94" spans="2:11" x14ac:dyDescent="0.2">
      <c r="C94" s="26">
        <v>3</v>
      </c>
      <c r="D94" s="26">
        <v>24</v>
      </c>
      <c r="E94" s="70">
        <v>23.416502413596177</v>
      </c>
      <c r="F94" s="70">
        <v>1.7029434085606296</v>
      </c>
      <c r="G94" s="70">
        <v>13.390639292512754</v>
      </c>
      <c r="H94" s="70">
        <v>0.6130014939986097</v>
      </c>
      <c r="I94" s="72">
        <v>0.95</v>
      </c>
      <c r="J94" s="70">
        <v>0.58235141929867917</v>
      </c>
      <c r="K94" s="70">
        <v>9.606691727848391</v>
      </c>
    </row>
    <row r="95" spans="2:11" x14ac:dyDescent="0.2">
      <c r="C95" s="26">
        <v>4</v>
      </c>
      <c r="D95" s="26">
        <v>25</v>
      </c>
      <c r="E95" s="70">
        <v>22.555085623000849</v>
      </c>
      <c r="F95" s="70">
        <v>1.7029434085606296</v>
      </c>
      <c r="G95" s="70">
        <v>12.782810968838271</v>
      </c>
      <c r="H95" s="70">
        <v>0.78668194074120024</v>
      </c>
      <c r="I95" s="72">
        <v>0.95</v>
      </c>
      <c r="J95" s="70">
        <v>0.7473478437041402</v>
      </c>
      <c r="K95" s="70">
        <v>12.20618982506965</v>
      </c>
    </row>
    <row r="96" spans="2:11" x14ac:dyDescent="0.2">
      <c r="C96" s="26">
        <v>5</v>
      </c>
      <c r="D96" s="26">
        <v>26</v>
      </c>
      <c r="E96" s="70">
        <v>21.635046587722044</v>
      </c>
      <c r="F96" s="70">
        <v>1.7029434085606296</v>
      </c>
      <c r="G96" s="70">
        <v>12.156134108768931</v>
      </c>
      <c r="H96" s="70">
        <v>0.93383813361494816</v>
      </c>
      <c r="I96" s="72">
        <v>0.95</v>
      </c>
      <c r="J96" s="70">
        <v>0.88714622693420075</v>
      </c>
      <c r="K96" s="70">
        <v>14.346571632628969</v>
      </c>
    </row>
    <row r="97" spans="3:11" x14ac:dyDescent="0.2">
      <c r="C97" s="26">
        <v>6</v>
      </c>
      <c r="D97" s="26">
        <v>27</v>
      </c>
      <c r="E97" s="70">
        <v>20.670162413010328</v>
      </c>
      <c r="F97" s="70">
        <v>1.7029434085606296</v>
      </c>
      <c r="G97" s="70">
        <v>11.509786259788132</v>
      </c>
      <c r="H97" s="70">
        <v>1.0696477679624259</v>
      </c>
      <c r="I97" s="72">
        <v>0.95</v>
      </c>
      <c r="J97" s="70">
        <v>1.0161653795643046</v>
      </c>
      <c r="K97" s="70">
        <v>16.304460578254869</v>
      </c>
    </row>
    <row r="98" spans="3:11" x14ac:dyDescent="0.2">
      <c r="C98" s="26">
        <v>7</v>
      </c>
      <c r="D98" s="26">
        <v>28</v>
      </c>
      <c r="E98" s="70">
        <v>19.64326797559961</v>
      </c>
      <c r="F98" s="70">
        <v>1.7029434085606296</v>
      </c>
      <c r="G98" s="70">
        <v>10.843296585845996</v>
      </c>
      <c r="H98" s="70">
        <v>1.1777475276651899</v>
      </c>
      <c r="I98" s="72">
        <v>0.95</v>
      </c>
      <c r="J98" s="70">
        <v>1.1188601512819303</v>
      </c>
      <c r="K98" s="70">
        <v>17.85471974407497</v>
      </c>
    </row>
    <row r="99" spans="3:11" x14ac:dyDescent="0.2">
      <c r="C99" s="26">
        <v>8</v>
      </c>
      <c r="D99" s="26">
        <v>29</v>
      </c>
      <c r="E99" s="70">
        <v>18.552327599718314</v>
      </c>
      <c r="F99" s="70">
        <v>1.7029434085606296</v>
      </c>
      <c r="G99" s="70">
        <v>10.155982525505042</v>
      </c>
      <c r="H99" s="70">
        <v>1.2572641004525664</v>
      </c>
      <c r="I99" s="72">
        <v>0.95</v>
      </c>
      <c r="J99" s="70">
        <v>1.1944008954299381</v>
      </c>
      <c r="K99" s="70">
        <v>18.940038747447939</v>
      </c>
    </row>
    <row r="100" spans="3:11" x14ac:dyDescent="0.2">
      <c r="C100" s="26">
        <v>9</v>
      </c>
      <c r="D100" s="26">
        <v>30</v>
      </c>
      <c r="E100" s="70">
        <v>17.347985016860083</v>
      </c>
      <c r="F100" s="70">
        <v>1.7029434085606296</v>
      </c>
      <c r="G100" s="70">
        <v>9.4475920862888199</v>
      </c>
      <c r="H100" s="70">
        <v>1.2592703467449695</v>
      </c>
      <c r="I100" s="72">
        <v>0.95</v>
      </c>
      <c r="J100" s="70">
        <v>1.196306829407721</v>
      </c>
      <c r="K100" s="70">
        <v>18.799589932144194</v>
      </c>
    </row>
    <row r="101" spans="3:11" x14ac:dyDescent="0.2">
      <c r="C101" s="26">
        <v>10</v>
      </c>
      <c r="D101" s="26">
        <v>31</v>
      </c>
      <c r="E101" s="70">
        <v>16.02642603690699</v>
      </c>
      <c r="F101" s="70">
        <v>1.7029434085606296</v>
      </c>
      <c r="G101" s="70">
        <v>8.7173387069368697</v>
      </c>
      <c r="H101" s="70">
        <v>1.1812915457384054</v>
      </c>
      <c r="I101" s="72">
        <v>0.95</v>
      </c>
      <c r="J101" s="70">
        <v>1.1222269684514852</v>
      </c>
      <c r="K101" s="70">
        <v>17.43200768451706</v>
      </c>
    </row>
    <row r="102" spans="3:11" x14ac:dyDescent="0.2">
      <c r="C102" s="26">
        <v>11</v>
      </c>
      <c r="D102" s="26">
        <v>32</v>
      </c>
      <c r="E102" s="70">
        <v>14.662667331258309</v>
      </c>
      <c r="F102" s="70">
        <v>1.7029434085606296</v>
      </c>
      <c r="G102" s="70">
        <v>7.9637670400439369</v>
      </c>
      <c r="H102" s="70">
        <v>1.100822743103091</v>
      </c>
      <c r="I102" s="72">
        <v>0.95</v>
      </c>
      <c r="J102" s="70">
        <v>1.0457816059479363</v>
      </c>
      <c r="K102" s="70">
        <v>16.003899729293018</v>
      </c>
    </row>
    <row r="103" spans="3:11" x14ac:dyDescent="0.2">
      <c r="C103" s="26">
        <v>12</v>
      </c>
      <c r="D103" s="26">
        <v>33</v>
      </c>
      <c r="E103" s="70">
        <v>13.28699542277397</v>
      </c>
      <c r="F103" s="70">
        <v>1.7029434085606296</v>
      </c>
      <c r="G103" s="70">
        <v>7.1859021111297299</v>
      </c>
      <c r="H103" s="70">
        <v>1.0498107880636827</v>
      </c>
      <c r="I103" s="72">
        <v>0.95</v>
      </c>
      <c r="J103" s="70">
        <v>0.99732024866049851</v>
      </c>
      <c r="K103" s="70">
        <v>14.984993143597221</v>
      </c>
    </row>
    <row r="104" spans="3:11" x14ac:dyDescent="0.2">
      <c r="C104" s="26">
        <v>13</v>
      </c>
      <c r="D104" s="26">
        <v>34</v>
      </c>
      <c r="E104" s="70">
        <v>11.883280388886474</v>
      </c>
      <c r="F104" s="70">
        <v>1.7029434085606296</v>
      </c>
      <c r="G104" s="70">
        <v>6.3831219889715065</v>
      </c>
      <c r="H104" s="70">
        <v>1.013184871729031</v>
      </c>
      <c r="I104" s="72">
        <v>0.95</v>
      </c>
      <c r="J104" s="70">
        <v>0.96252562814257947</v>
      </c>
      <c r="K104" s="70">
        <v>14.163723436423414</v>
      </c>
    </row>
    <row r="105" spans="3:11" x14ac:dyDescent="0.2">
      <c r="C105" s="26">
        <v>14</v>
      </c>
      <c r="D105" s="26">
        <v>35</v>
      </c>
      <c r="E105" s="70">
        <v>10.450673618455284</v>
      </c>
      <c r="F105" s="70">
        <v>1.7029434085606296</v>
      </c>
      <c r="G105" s="70">
        <v>5.554658471156495</v>
      </c>
      <c r="H105" s="70">
        <v>0.99140458819386623</v>
      </c>
      <c r="I105" s="72">
        <v>0.95</v>
      </c>
      <c r="J105" s="70">
        <v>0.94183435878417288</v>
      </c>
      <c r="K105" s="70">
        <v>13.5387876162957</v>
      </c>
    </row>
    <row r="106" spans="3:11" x14ac:dyDescent="0.2">
      <c r="C106" s="26">
        <v>15</v>
      </c>
      <c r="D106" s="26">
        <v>36</v>
      </c>
      <c r="E106" s="70">
        <v>8.9724159550556646</v>
      </c>
      <c r="F106" s="70">
        <v>1.7029434085606296</v>
      </c>
      <c r="G106" s="70">
        <v>4.699795455474689</v>
      </c>
      <c r="H106" s="70">
        <v>0.96893026257184012</v>
      </c>
      <c r="I106" s="72">
        <v>0.95</v>
      </c>
      <c r="J106" s="70">
        <v>0.92048374944324807</v>
      </c>
      <c r="K106" s="70">
        <v>12.872467721060309</v>
      </c>
    </row>
    <row r="107" spans="3:11" x14ac:dyDescent="0.2">
      <c r="C107" s="26">
        <v>16</v>
      </c>
      <c r="D107" s="26">
        <v>37</v>
      </c>
      <c r="E107" s="70">
        <v>7.4152324614363518</v>
      </c>
      <c r="F107" s="70">
        <v>1.7029434085606296</v>
      </c>
      <c r="G107" s="70">
        <v>3.8178140970775511</v>
      </c>
      <c r="H107" s="70">
        <v>0.9137111097082844</v>
      </c>
      <c r="I107" s="72">
        <v>0.95</v>
      </c>
      <c r="J107" s="70">
        <v>0.86802555422287009</v>
      </c>
      <c r="K107" s="70">
        <v>11.802909322965577</v>
      </c>
    </row>
    <row r="108" spans="3:11" x14ac:dyDescent="0.2">
      <c r="C108" s="26">
        <v>17</v>
      </c>
      <c r="D108" s="26">
        <v>38</v>
      </c>
      <c r="E108" s="70">
        <v>5.7605653827220316</v>
      </c>
      <c r="F108" s="70">
        <v>1.7029434085606296</v>
      </c>
      <c r="G108" s="70">
        <v>2.9078385191139664</v>
      </c>
      <c r="H108" s="70">
        <v>0.80868094343820029</v>
      </c>
      <c r="I108" s="72">
        <v>0.95</v>
      </c>
      <c r="J108" s="70">
        <v>0.76824689626629028</v>
      </c>
      <c r="K108" s="70">
        <v>10.115237669539024</v>
      </c>
    </row>
    <row r="109" spans="3:11" x14ac:dyDescent="0.2">
      <c r="C109" s="26">
        <v>18</v>
      </c>
      <c r="D109" s="26">
        <v>39</v>
      </c>
      <c r="E109" s="70">
        <v>4.0051362880573542</v>
      </c>
      <c r="F109" s="70">
        <v>1.7029434085606296</v>
      </c>
      <c r="G109" s="70">
        <v>1.9688854368932101</v>
      </c>
      <c r="H109" s="70">
        <v>0.65223581108904671</v>
      </c>
      <c r="I109" s="72">
        <v>0.95</v>
      </c>
      <c r="J109" s="70">
        <v>0.61962402053459431</v>
      </c>
      <c r="K109" s="70">
        <v>7.9076293249703724</v>
      </c>
    </row>
    <row r="110" spans="3:11" x14ac:dyDescent="0.2">
      <c r="C110" s="26">
        <v>19</v>
      </c>
      <c r="D110" s="26">
        <v>40</v>
      </c>
      <c r="E110" s="70">
        <v>2.0815533980582845</v>
      </c>
      <c r="F110" s="70">
        <v>1.7029434085606296</v>
      </c>
      <c r="G110" s="70">
        <v>1.0000000000000087</v>
      </c>
      <c r="H110" s="70">
        <v>0.37860998949764024</v>
      </c>
      <c r="I110" s="72">
        <v>0.95</v>
      </c>
      <c r="J110" s="70">
        <v>0.35967949002275823</v>
      </c>
      <c r="K110" s="70">
        <v>4.4469464220995585</v>
      </c>
    </row>
    <row r="111" spans="3:11" x14ac:dyDescent="0.2">
      <c r="C111" s="26">
        <v>20</v>
      </c>
      <c r="D111" s="26">
        <v>41</v>
      </c>
      <c r="E111" s="70">
        <v>0</v>
      </c>
      <c r="F111" s="70">
        <v>1.7029434085606296</v>
      </c>
      <c r="G111" s="70">
        <v>0</v>
      </c>
      <c r="H111" s="70">
        <v>0</v>
      </c>
      <c r="I111" s="72">
        <v>0.95</v>
      </c>
      <c r="J111" s="70">
        <v>0</v>
      </c>
      <c r="K111" s="70"/>
    </row>
    <row r="112" spans="3:11" x14ac:dyDescent="0.2">
      <c r="E112" s="68"/>
      <c r="F112" s="68"/>
      <c r="G112" s="68"/>
      <c r="H112" s="68"/>
      <c r="I112" s="62"/>
      <c r="J112" s="68"/>
      <c r="K112" s="68"/>
    </row>
    <row r="113" spans="3:11" x14ac:dyDescent="0.2">
      <c r="E113" s="68"/>
      <c r="F113" s="68"/>
      <c r="G113" s="68"/>
      <c r="H113" s="68"/>
      <c r="I113" s="62"/>
      <c r="J113" s="68"/>
      <c r="K113" s="68"/>
    </row>
    <row r="114" spans="3:11" x14ac:dyDescent="0.2">
      <c r="C114" s="26">
        <v>1</v>
      </c>
      <c r="D114" s="26">
        <v>23</v>
      </c>
      <c r="E114" s="70">
        <v>25.523320062992852</v>
      </c>
      <c r="F114" s="70">
        <v>1.7390097019876753</v>
      </c>
      <c r="G114" s="70">
        <v>14.548388974035911</v>
      </c>
      <c r="H114" s="70">
        <v>0</v>
      </c>
      <c r="I114" s="72">
        <v>0</v>
      </c>
      <c r="J114" s="70">
        <v>0</v>
      </c>
      <c r="K114" s="70">
        <v>0</v>
      </c>
    </row>
    <row r="115" spans="3:11" x14ac:dyDescent="0.2">
      <c r="C115" s="26">
        <v>2</v>
      </c>
      <c r="D115" s="26">
        <v>24</v>
      </c>
      <c r="E115" s="70">
        <v>24.728585401525081</v>
      </c>
      <c r="F115" s="70">
        <v>1.7390097019876753</v>
      </c>
      <c r="G115" s="70">
        <v>13.97720416992888</v>
      </c>
      <c r="H115" s="70">
        <v>0.42209174335616595</v>
      </c>
      <c r="I115" s="72">
        <v>0.95</v>
      </c>
      <c r="J115" s="70">
        <v>0.40098715618835762</v>
      </c>
      <c r="K115" s="70">
        <v>6.4925102201010061</v>
      </c>
    </row>
    <row r="116" spans="3:11" x14ac:dyDescent="0.2">
      <c r="C116" s="26">
        <v>3</v>
      </c>
      <c r="D116" s="26">
        <v>25</v>
      </c>
      <c r="E116" s="70">
        <v>23.908696878576542</v>
      </c>
      <c r="F116" s="70">
        <v>1.7390097019876753</v>
      </c>
      <c r="G116" s="70">
        <v>13.387941000627745</v>
      </c>
      <c r="H116" s="70">
        <v>0.62693758884630668</v>
      </c>
      <c r="I116" s="72">
        <v>0.95</v>
      </c>
      <c r="J116" s="70">
        <v>0.59559070940399128</v>
      </c>
      <c r="K116" s="70">
        <v>9.5404188632232589</v>
      </c>
    </row>
    <row r="117" spans="3:11" x14ac:dyDescent="0.2">
      <c r="C117" s="26">
        <v>4</v>
      </c>
      <c r="D117" s="26">
        <v>26</v>
      </c>
      <c r="E117" s="70">
        <v>23.031545266809278</v>
      </c>
      <c r="F117" s="70">
        <v>1.7390097019876753</v>
      </c>
      <c r="G117" s="70">
        <v>12.780436903673372</v>
      </c>
      <c r="H117" s="70">
        <v>0.80624149567995929</v>
      </c>
      <c r="I117" s="72">
        <v>0.95</v>
      </c>
      <c r="J117" s="70">
        <v>0.76592942089596128</v>
      </c>
      <c r="K117" s="70">
        <v>12.137652983733334</v>
      </c>
    </row>
    <row r="118" spans="3:11" x14ac:dyDescent="0.2">
      <c r="C118" s="26">
        <v>5</v>
      </c>
      <c r="D118" s="26">
        <v>27</v>
      </c>
      <c r="E118" s="70">
        <v>22.11093043817565</v>
      </c>
      <c r="F118" s="70">
        <v>1.7390097019876753</v>
      </c>
      <c r="G118" s="70">
        <v>12.15387960437158</v>
      </c>
      <c r="H118" s="70">
        <v>0.97521588938334247</v>
      </c>
      <c r="I118" s="72">
        <v>0.95</v>
      </c>
      <c r="J118" s="70">
        <v>0.92645509491417533</v>
      </c>
      <c r="K118" s="70">
        <v>14.550552397715565</v>
      </c>
    </row>
    <row r="119" spans="3:11" x14ac:dyDescent="0.2">
      <c r="C119" s="26">
        <v>6</v>
      </c>
      <c r="D119" s="26">
        <v>28</v>
      </c>
      <c r="E119" s="70">
        <v>21.129756341975401</v>
      </c>
      <c r="F119" s="70">
        <v>1.7390097019876753</v>
      </c>
      <c r="G119" s="70">
        <v>11.507829145467111</v>
      </c>
      <c r="H119" s="70">
        <v>1.1175298091915558</v>
      </c>
      <c r="I119" s="72">
        <v>0.95</v>
      </c>
      <c r="J119" s="70">
        <v>1.0616533187319779</v>
      </c>
      <c r="K119" s="70">
        <v>16.559402939691658</v>
      </c>
    </row>
    <row r="120" spans="3:11" x14ac:dyDescent="0.2">
      <c r="C120" s="26">
        <v>7</v>
      </c>
      <c r="D120" s="26">
        <v>29</v>
      </c>
      <c r="E120" s="70">
        <v>20.086036326425504</v>
      </c>
      <c r="F120" s="70">
        <v>1.7390097019876753</v>
      </c>
      <c r="G120" s="70">
        <v>10.841624881628473</v>
      </c>
      <c r="H120" s="70">
        <v>1.2323454719626064</v>
      </c>
      <c r="I120" s="72">
        <v>0.95</v>
      </c>
      <c r="J120" s="70">
        <v>1.1707281983644759</v>
      </c>
      <c r="K120" s="70">
        <v>18.116960339111486</v>
      </c>
    </row>
    <row r="121" spans="3:11" x14ac:dyDescent="0.2">
      <c r="C121" s="26">
        <v>8</v>
      </c>
      <c r="D121" s="26">
        <v>30</v>
      </c>
      <c r="E121" s="70">
        <v>18.930540945592778</v>
      </c>
      <c r="F121" s="70">
        <v>1.7390097019876753</v>
      </c>
      <c r="G121" s="70">
        <v>10.155071516234417</v>
      </c>
      <c r="H121" s="70">
        <v>1.2707730544824365</v>
      </c>
      <c r="I121" s="72">
        <v>0.95</v>
      </c>
      <c r="J121" s="70">
        <v>1.2072344017583145</v>
      </c>
      <c r="K121" s="70">
        <v>18.484840042916595</v>
      </c>
    </row>
    <row r="122" spans="3:11" x14ac:dyDescent="0.2">
      <c r="C122" s="26">
        <v>9</v>
      </c>
      <c r="D122" s="26">
        <v>31</v>
      </c>
      <c r="E122" s="70">
        <v>17.659515787514803</v>
      </c>
      <c r="F122" s="70">
        <v>1.7390097019876753</v>
      </c>
      <c r="G122" s="70">
        <v>9.4474092117658746</v>
      </c>
      <c r="H122" s="70">
        <v>1.2303795096062089</v>
      </c>
      <c r="I122" s="72">
        <v>0.95</v>
      </c>
      <c r="J122" s="70">
        <v>1.1688605341258984</v>
      </c>
      <c r="K122" s="70">
        <v>17.663245943019643</v>
      </c>
    </row>
    <row r="123" spans="3:11" x14ac:dyDescent="0.2">
      <c r="C123" s="26">
        <v>10</v>
      </c>
      <c r="D123" s="26">
        <v>32</v>
      </c>
      <c r="E123" s="70">
        <v>16.34790453843619</v>
      </c>
      <c r="F123" s="70">
        <v>1.7390097019876753</v>
      </c>
      <c r="G123" s="70">
        <v>8.7171499929055685</v>
      </c>
      <c r="H123" s="70">
        <v>1.1886961270916103</v>
      </c>
      <c r="I123" s="72">
        <v>0.95</v>
      </c>
      <c r="J123" s="70">
        <v>1.1292613207370297</v>
      </c>
      <c r="K123" s="70">
        <v>16.787515884679035</v>
      </c>
    </row>
    <row r="124" spans="3:11" x14ac:dyDescent="0.2">
      <c r="C124" s="26">
        <v>11</v>
      </c>
      <c r="D124" s="26">
        <v>33</v>
      </c>
      <c r="E124" s="70">
        <v>15.025989495260568</v>
      </c>
      <c r="F124" s="70">
        <v>1.7390097019876753</v>
      </c>
      <c r="G124" s="70">
        <v>7.9633169959653083</v>
      </c>
      <c r="H124" s="70">
        <v>1.1777039792735469</v>
      </c>
      <c r="I124" s="72">
        <v>0.95</v>
      </c>
      <c r="J124" s="70">
        <v>1.1188187803098695</v>
      </c>
      <c r="K124" s="70">
        <v>16.308603838211486</v>
      </c>
    </row>
    <row r="125" spans="3:11" x14ac:dyDescent="0.2">
      <c r="C125" s="26">
        <v>12</v>
      </c>
      <c r="D125" s="26">
        <v>34</v>
      </c>
      <c r="E125" s="70">
        <v>13.677717336540191</v>
      </c>
      <c r="F125" s="70">
        <v>1.7390097019876753</v>
      </c>
      <c r="G125" s="70">
        <v>7.1853225341465521</v>
      </c>
      <c r="H125" s="70">
        <v>1.1823717377486673</v>
      </c>
      <c r="I125" s="72">
        <v>0.95</v>
      </c>
      <c r="J125" s="70">
        <v>1.123253150861234</v>
      </c>
      <c r="K125" s="70">
        <v>16.015198575707178</v>
      </c>
    </row>
    <row r="126" spans="3:11" x14ac:dyDescent="0.2">
      <c r="C126" s="26">
        <v>13</v>
      </c>
      <c r="D126" s="26">
        <v>35</v>
      </c>
      <c r="E126" s="70">
        <v>12.302291399486716</v>
      </c>
      <c r="F126" s="70">
        <v>1.7390097019876753</v>
      </c>
      <c r="G126" s="70">
        <v>6.3824216284752238</v>
      </c>
      <c r="H126" s="70">
        <v>1.2031982653923237</v>
      </c>
      <c r="I126" s="72">
        <v>0.95</v>
      </c>
      <c r="J126" s="70">
        <v>1.1430383521227074</v>
      </c>
      <c r="K126" s="70">
        <v>15.901752797109959</v>
      </c>
    </row>
    <row r="127" spans="3:11" x14ac:dyDescent="0.2">
      <c r="C127" s="26">
        <v>14</v>
      </c>
      <c r="D127" s="26">
        <v>36</v>
      </c>
      <c r="E127" s="70">
        <v>10.883036671773864</v>
      </c>
      <c r="F127" s="70">
        <v>1.7390097019876753</v>
      </c>
      <c r="G127" s="70">
        <v>5.5539357932436664</v>
      </c>
      <c r="H127" s="70">
        <v>1.2246884431065119</v>
      </c>
      <c r="I127" s="72">
        <v>0.95</v>
      </c>
      <c r="J127" s="70">
        <v>1.1634540209511863</v>
      </c>
      <c r="K127" s="70">
        <v>15.733969850347499</v>
      </c>
    </row>
    <row r="128" spans="3:11" x14ac:dyDescent="0.2">
      <c r="C128" s="26">
        <v>15</v>
      </c>
      <c r="D128" s="26">
        <v>37</v>
      </c>
      <c r="E128" s="70">
        <v>9.3867994829757304</v>
      </c>
      <c r="F128" s="70">
        <v>1.7390097019876753</v>
      </c>
      <c r="G128" s="70">
        <v>4.6992003957691892</v>
      </c>
      <c r="H128" s="70">
        <v>1.2148444031487866</v>
      </c>
      <c r="I128" s="72">
        <v>0.95</v>
      </c>
      <c r="J128" s="70">
        <v>1.1541021829913471</v>
      </c>
      <c r="K128" s="70">
        <v>15.16093124593109</v>
      </c>
    </row>
    <row r="129" spans="3:11" x14ac:dyDescent="0.2">
      <c r="C129" s="26">
        <v>16</v>
      </c>
      <c r="D129" s="26">
        <v>38</v>
      </c>
      <c r="E129" s="70">
        <v>7.7951206552621484</v>
      </c>
      <c r="F129" s="70">
        <v>1.7390097019876753</v>
      </c>
      <c r="G129" s="70">
        <v>3.8173836279318021</v>
      </c>
      <c r="H129" s="70">
        <v>1.156653490079834</v>
      </c>
      <c r="I129" s="72">
        <v>0.95</v>
      </c>
      <c r="J129" s="70">
        <v>1.0988208155758423</v>
      </c>
      <c r="K129" s="70">
        <v>13.972718602609488</v>
      </c>
    </row>
    <row r="130" spans="3:11" x14ac:dyDescent="0.2">
      <c r="C130" s="26">
        <v>17</v>
      </c>
      <c r="D130" s="26">
        <v>39</v>
      </c>
      <c r="E130" s="70">
        <v>6.1047931544670435</v>
      </c>
      <c r="F130" s="70">
        <v>1.7390097019876753</v>
      </c>
      <c r="G130" s="70">
        <v>2.9075341228315579</v>
      </c>
      <c r="H130" s="70">
        <v>1.0485631060027387</v>
      </c>
      <c r="I130" s="72">
        <v>0.95</v>
      </c>
      <c r="J130" s="70">
        <v>0.99613495070260172</v>
      </c>
      <c r="K130" s="70">
        <v>12.265814353315902</v>
      </c>
    </row>
    <row r="131" spans="3:11" x14ac:dyDescent="0.2">
      <c r="C131" s="26">
        <v>18</v>
      </c>
      <c r="D131" s="26">
        <v>40</v>
      </c>
      <c r="E131" s="70">
        <v>4.2486381600528293</v>
      </c>
      <c r="F131" s="70">
        <v>1.7390097019876753</v>
      </c>
      <c r="G131" s="70">
        <v>1.9687922330097107</v>
      </c>
      <c r="H131" s="70">
        <v>0.8248893656509626</v>
      </c>
      <c r="I131" s="72">
        <v>0.95</v>
      </c>
      <c r="J131" s="70">
        <v>0.78364489736841447</v>
      </c>
      <c r="K131" s="70">
        <v>9.3318864947771925</v>
      </c>
    </row>
    <row r="132" spans="3:11" x14ac:dyDescent="0.2">
      <c r="C132" s="26">
        <v>19</v>
      </c>
      <c r="D132" s="26">
        <v>41</v>
      </c>
      <c r="E132" s="70">
        <v>2.2368932038835077</v>
      </c>
      <c r="F132" s="70">
        <v>1.7390097019876753</v>
      </c>
      <c r="G132" s="70">
        <v>0.99999999999999312</v>
      </c>
      <c r="H132" s="70">
        <v>0.49788350189584429</v>
      </c>
      <c r="I132" s="72">
        <v>0.95</v>
      </c>
      <c r="J132" s="70">
        <v>0.47298932680105205</v>
      </c>
      <c r="K132" s="70">
        <v>5.427486465080122</v>
      </c>
    </row>
    <row r="133" spans="3:11" x14ac:dyDescent="0.2">
      <c r="C133" s="26">
        <v>20</v>
      </c>
      <c r="D133" s="26">
        <v>42</v>
      </c>
      <c r="E133" s="70">
        <v>0</v>
      </c>
      <c r="F133" s="70">
        <v>1.7390097019876753</v>
      </c>
      <c r="G133" s="70">
        <v>0</v>
      </c>
      <c r="H133" s="70">
        <v>0</v>
      </c>
      <c r="I133" s="72">
        <v>0.95</v>
      </c>
      <c r="J133" s="70">
        <v>0</v>
      </c>
      <c r="K133" s="70"/>
    </row>
    <row r="134" spans="3:11" x14ac:dyDescent="0.2">
      <c r="E134" s="68"/>
      <c r="F134" s="68"/>
      <c r="G134" s="68"/>
      <c r="H134" s="68"/>
      <c r="I134" s="62"/>
      <c r="J134" s="68"/>
      <c r="K134" s="68"/>
    </row>
    <row r="135" spans="3:11" x14ac:dyDescent="0.2">
      <c r="E135" s="68"/>
      <c r="F135" s="68"/>
      <c r="G135" s="68"/>
      <c r="H135" s="68"/>
      <c r="I135" s="62"/>
      <c r="J135" s="68"/>
      <c r="K135" s="68"/>
    </row>
    <row r="136" spans="3:11" x14ac:dyDescent="0.2">
      <c r="C136" s="26">
        <v>1</v>
      </c>
      <c r="D136" s="26">
        <v>24</v>
      </c>
      <c r="E136" s="70">
        <v>26.087776556484659</v>
      </c>
      <c r="F136" s="70">
        <v>1.7776400740161244</v>
      </c>
      <c r="G136" s="70">
        <v>14.545372550451757</v>
      </c>
      <c r="H136" s="70">
        <v>0</v>
      </c>
      <c r="I136" s="72">
        <v>0</v>
      </c>
      <c r="J136" s="70">
        <v>0</v>
      </c>
      <c r="K136" s="70">
        <v>0</v>
      </c>
    </row>
    <row r="137" spans="3:11" x14ac:dyDescent="0.2">
      <c r="C137" s="26">
        <v>2</v>
      </c>
      <c r="D137" s="26">
        <v>25</v>
      </c>
      <c r="E137" s="70">
        <v>25.310907304866973</v>
      </c>
      <c r="F137" s="70">
        <v>1.7776400740161244</v>
      </c>
      <c r="G137" s="70">
        <v>13.974092274604672</v>
      </c>
      <c r="H137" s="70">
        <v>0.4700008795305699</v>
      </c>
      <c r="I137" s="72">
        <v>0.95</v>
      </c>
      <c r="J137" s="70">
        <v>0.44650083555404141</v>
      </c>
      <c r="K137" s="70">
        <v>6.9960108063337749</v>
      </c>
    </row>
    <row r="138" spans="3:11" x14ac:dyDescent="0.2">
      <c r="C138" s="26">
        <v>3</v>
      </c>
      <c r="D138" s="26">
        <v>26</v>
      </c>
      <c r="E138" s="70">
        <v>24.478182918536035</v>
      </c>
      <c r="F138" s="70">
        <v>1.7776400740161244</v>
      </c>
      <c r="G138" s="70">
        <v>13.385159623348118</v>
      </c>
      <c r="H138" s="70">
        <v>0.68418677496984515</v>
      </c>
      <c r="I138" s="72">
        <v>0.95</v>
      </c>
      <c r="J138" s="70">
        <v>0.64997743622135284</v>
      </c>
      <c r="K138" s="70">
        <v>10.065852653348273</v>
      </c>
    </row>
    <row r="139" spans="3:11" x14ac:dyDescent="0.2">
      <c r="C139" s="26">
        <v>4</v>
      </c>
      <c r="D139" s="26">
        <v>27</v>
      </c>
      <c r="E139" s="70">
        <v>23.603426853546743</v>
      </c>
      <c r="F139" s="70">
        <v>1.7776400740161244</v>
      </c>
      <c r="G139" s="70">
        <v>12.777772180602195</v>
      </c>
      <c r="H139" s="70">
        <v>0.88914696865987963</v>
      </c>
      <c r="I139" s="72">
        <v>0.95</v>
      </c>
      <c r="J139" s="70">
        <v>0.84468962022688565</v>
      </c>
      <c r="K139" s="70">
        <v>12.949518351844565</v>
      </c>
    </row>
    <row r="140" spans="3:11" x14ac:dyDescent="0.2">
      <c r="C140" s="26">
        <v>5</v>
      </c>
      <c r="D140" s="26">
        <v>28</v>
      </c>
      <c r="E140" s="70">
        <v>22.669614611700769</v>
      </c>
      <c r="F140" s="70">
        <v>1.7776400740161244</v>
      </c>
      <c r="G140" s="70">
        <v>12.151519899451337</v>
      </c>
      <c r="H140" s="70">
        <v>1.068585878231687</v>
      </c>
      <c r="I140" s="72">
        <v>0.95</v>
      </c>
      <c r="J140" s="70">
        <v>1.0151565843201027</v>
      </c>
      <c r="K140" s="70">
        <v>15.433275478691995</v>
      </c>
    </row>
    <row r="141" spans="3:11" x14ac:dyDescent="0.2">
      <c r="C141" s="26">
        <v>6</v>
      </c>
      <c r="D141" s="26">
        <v>29</v>
      </c>
      <c r="E141" s="70">
        <v>21.674810325328757</v>
      </c>
      <c r="F141" s="70">
        <v>1.7776400740161244</v>
      </c>
      <c r="G141" s="70">
        <v>11.50576336331287</v>
      </c>
      <c r="H141" s="70">
        <v>1.2217042885572553</v>
      </c>
      <c r="I141" s="72">
        <v>0.95</v>
      </c>
      <c r="J141" s="70">
        <v>1.1606190741293925</v>
      </c>
      <c r="K141" s="70">
        <v>17.478183812069542</v>
      </c>
    </row>
    <row r="142" spans="3:11" x14ac:dyDescent="0.2">
      <c r="C142" s="26">
        <v>7</v>
      </c>
      <c r="D142" s="26">
        <v>30</v>
      </c>
      <c r="E142" s="70">
        <v>20.569915924425192</v>
      </c>
      <c r="F142" s="70">
        <v>1.7776400740161244</v>
      </c>
      <c r="G142" s="70">
        <v>10.840362193262582</v>
      </c>
      <c r="H142" s="70">
        <v>1.2996536728322994</v>
      </c>
      <c r="I142" s="72">
        <v>0.95</v>
      </c>
      <c r="J142" s="70">
        <v>1.2346709891906844</v>
      </c>
      <c r="K142" s="70">
        <v>18.368682037336029</v>
      </c>
    </row>
    <row r="143" spans="3:11" x14ac:dyDescent="0.2">
      <c r="C143" s="26">
        <v>8</v>
      </c>
      <c r="D143" s="26">
        <v>31</v>
      </c>
      <c r="E143" s="70">
        <v>19.351238921418862</v>
      </c>
      <c r="F143" s="70">
        <v>1.7776400740161244</v>
      </c>
      <c r="G143" s="70">
        <v>10.154582437383239</v>
      </c>
      <c r="H143" s="70">
        <v>1.3000462458260849</v>
      </c>
      <c r="I143" s="72">
        <v>0.95</v>
      </c>
      <c r="J143" s="70">
        <v>1.2350439335347805</v>
      </c>
      <c r="K143" s="70">
        <v>18.106201417684936</v>
      </c>
    </row>
    <row r="144" spans="3:11" x14ac:dyDescent="0.2">
      <c r="C144" s="26">
        <v>9</v>
      </c>
      <c r="D144" s="26">
        <v>32</v>
      </c>
      <c r="E144" s="70">
        <v>18.093647396988583</v>
      </c>
      <c r="F144" s="70">
        <v>1.7776400740161244</v>
      </c>
      <c r="G144" s="70">
        <v>9.4469045157582343</v>
      </c>
      <c r="H144" s="70">
        <v>1.3004513543728535</v>
      </c>
      <c r="I144" s="72">
        <v>0.95</v>
      </c>
      <c r="J144" s="70">
        <v>1.2354287866542109</v>
      </c>
      <c r="K144" s="70">
        <v>17.792015425920386</v>
      </c>
    </row>
    <row r="145" spans="3:11" x14ac:dyDescent="0.2">
      <c r="C145" s="26">
        <v>10</v>
      </c>
      <c r="D145" s="26">
        <v>33</v>
      </c>
      <c r="E145" s="70">
        <v>16.827419270355701</v>
      </c>
      <c r="F145" s="70">
        <v>1.7776400740161244</v>
      </c>
      <c r="G145" s="70">
        <v>8.7163497347429058</v>
      </c>
      <c r="H145" s="70">
        <v>1.3328866827368948</v>
      </c>
      <c r="I145" s="72">
        <v>0.95</v>
      </c>
      <c r="J145" s="70">
        <v>1.26624234860005</v>
      </c>
      <c r="K145" s="70">
        <v>17.857705519692665</v>
      </c>
    </row>
    <row r="146" spans="3:11" x14ac:dyDescent="0.2">
      <c r="C146" s="26">
        <v>11</v>
      </c>
      <c r="D146" s="26">
        <v>34</v>
      </c>
      <c r="E146" s="70">
        <v>15.536580571428617</v>
      </c>
      <c r="F146" s="70">
        <v>1.7776400740161244</v>
      </c>
      <c r="G146" s="70">
        <v>7.9623635779513764</v>
      </c>
      <c r="H146" s="70">
        <v>1.3823639913758381</v>
      </c>
      <c r="I146" s="72">
        <v>0.95</v>
      </c>
      <c r="J146" s="70">
        <v>1.3132457918070461</v>
      </c>
      <c r="K146" s="70">
        <v>18.093222702783329</v>
      </c>
    </row>
    <row r="147" spans="3:11" x14ac:dyDescent="0.2">
      <c r="C147" s="26">
        <v>12</v>
      </c>
      <c r="D147" s="26">
        <v>35</v>
      </c>
      <c r="E147" s="70">
        <v>14.220388450890733</v>
      </c>
      <c r="F147" s="70">
        <v>1.7776400740161244</v>
      </c>
      <c r="G147" s="70">
        <v>7.1842235614890821</v>
      </c>
      <c r="H147" s="70">
        <v>1.4494247472968951</v>
      </c>
      <c r="I147" s="72">
        <v>0.95</v>
      </c>
      <c r="J147" s="70">
        <v>1.3769535099320502</v>
      </c>
      <c r="K147" s="70">
        <v>18.489068936450693</v>
      </c>
    </row>
    <row r="148" spans="3:11" x14ac:dyDescent="0.2">
      <c r="C148" s="26">
        <v>13</v>
      </c>
      <c r="D148" s="26">
        <v>36</v>
      </c>
      <c r="E148" s="70">
        <v>12.862255061568753</v>
      </c>
      <c r="F148" s="70">
        <v>1.7776400740161244</v>
      </c>
      <c r="G148" s="70">
        <v>6.381287636380331</v>
      </c>
      <c r="H148" s="70">
        <v>1.5186224353154412</v>
      </c>
      <c r="I148" s="72">
        <v>0.95</v>
      </c>
      <c r="J148" s="70">
        <v>1.4426913135496691</v>
      </c>
      <c r="K148" s="70">
        <v>18.814941608320645</v>
      </c>
    </row>
    <row r="149" spans="3:11" x14ac:dyDescent="0.2">
      <c r="C149" s="26">
        <v>14</v>
      </c>
      <c r="D149" s="26">
        <v>37</v>
      </c>
      <c r="E149" s="70">
        <v>11.429152353746684</v>
      </c>
      <c r="F149" s="70">
        <v>1.7776400740161244</v>
      </c>
      <c r="G149" s="70">
        <v>5.5529436818463367</v>
      </c>
      <c r="H149" s="70">
        <v>1.5580171361419914</v>
      </c>
      <c r="I149" s="72">
        <v>0.95</v>
      </c>
      <c r="J149" s="70">
        <v>1.4801162793348919</v>
      </c>
      <c r="K149" s="70">
        <v>18.731867677695682</v>
      </c>
    </row>
    <row r="150" spans="3:11" x14ac:dyDescent="0.2">
      <c r="C150" s="26">
        <v>15</v>
      </c>
      <c r="D150" s="26">
        <v>38</v>
      </c>
      <c r="E150" s="70">
        <v>9.9027232658850846</v>
      </c>
      <c r="F150" s="70">
        <v>1.7776400740161244</v>
      </c>
      <c r="G150" s="70">
        <v>4.6984025763659067</v>
      </c>
      <c r="H150" s="70">
        <v>1.5506545622764438</v>
      </c>
      <c r="I150" s="72">
        <v>0.95</v>
      </c>
      <c r="J150" s="70">
        <v>1.4731218341626215</v>
      </c>
      <c r="K150" s="70">
        <v>18.035172063358601</v>
      </c>
    </row>
    <row r="151" spans="3:11" x14ac:dyDescent="0.2">
      <c r="C151" s="26">
        <v>16</v>
      </c>
      <c r="D151" s="26">
        <v>39</v>
      </c>
      <c r="E151" s="70">
        <v>8.2798347238870669</v>
      </c>
      <c r="F151" s="70">
        <v>1.7776400740161244</v>
      </c>
      <c r="G151" s="70">
        <v>3.816743869788795</v>
      </c>
      <c r="H151" s="70">
        <v>1.4950378686951238</v>
      </c>
      <c r="I151" s="72">
        <v>0.95</v>
      </c>
      <c r="J151" s="70">
        <v>1.4202859752603676</v>
      </c>
      <c r="K151" s="70">
        <v>16.819162438652452</v>
      </c>
    </row>
    <row r="152" spans="3:11" x14ac:dyDescent="0.2">
      <c r="C152" s="26">
        <v>17</v>
      </c>
      <c r="D152" s="26">
        <v>40</v>
      </c>
      <c r="E152" s="70">
        <v>6.4935285119962334</v>
      </c>
      <c r="F152" s="70">
        <v>1.7776400740161244</v>
      </c>
      <c r="G152" s="70">
        <v>2.90720013175229</v>
      </c>
      <c r="H152" s="70">
        <v>1.3255730546084061</v>
      </c>
      <c r="I152" s="72">
        <v>0.95</v>
      </c>
      <c r="J152" s="70">
        <v>1.2592944018779857</v>
      </c>
      <c r="K152" s="70">
        <v>14.40130901547175</v>
      </c>
    </row>
    <row r="153" spans="3:11" x14ac:dyDescent="0.2">
      <c r="C153" s="26">
        <v>18</v>
      </c>
      <c r="D153" s="26">
        <v>41</v>
      </c>
      <c r="E153" s="70">
        <v>4.554098354227551</v>
      </c>
      <c r="F153" s="70">
        <v>1.7776400740161244</v>
      </c>
      <c r="G153" s="70">
        <v>1.9686368932038787</v>
      </c>
      <c r="H153" s="70">
        <v>1.0545705216817347</v>
      </c>
      <c r="I153" s="72">
        <v>0.95</v>
      </c>
      <c r="J153" s="70">
        <v>1.0018419955976479</v>
      </c>
      <c r="K153" s="70">
        <v>11.027630360534619</v>
      </c>
    </row>
    <row r="154" spans="3:11" x14ac:dyDescent="0.2">
      <c r="C154" s="26">
        <v>19</v>
      </c>
      <c r="D154" s="26">
        <v>42</v>
      </c>
      <c r="E154" s="70">
        <v>2.3922330097087339</v>
      </c>
      <c r="F154" s="70">
        <v>1.7776400740161244</v>
      </c>
      <c r="G154" s="70">
        <v>1.0000000000000022</v>
      </c>
      <c r="H154" s="70">
        <v>0.61459293569260542</v>
      </c>
      <c r="I154" s="72">
        <v>0.95</v>
      </c>
      <c r="J154" s="70">
        <v>0.58386328890797512</v>
      </c>
      <c r="K154" s="70">
        <v>6.1692901598388632</v>
      </c>
    </row>
    <row r="155" spans="3:11" x14ac:dyDescent="0.2">
      <c r="C155" s="26">
        <v>20</v>
      </c>
      <c r="D155" s="26">
        <v>43</v>
      </c>
      <c r="E155" s="70">
        <v>0</v>
      </c>
      <c r="F155" s="70">
        <v>1.7776400740161244</v>
      </c>
      <c r="G155" s="70">
        <v>0</v>
      </c>
      <c r="H155" s="70">
        <v>0</v>
      </c>
      <c r="I155" s="72">
        <v>0.95</v>
      </c>
      <c r="J155" s="70">
        <v>0</v>
      </c>
      <c r="K155" s="70"/>
    </row>
    <row r="156" spans="3:11" x14ac:dyDescent="0.2">
      <c r="E156" s="68"/>
      <c r="F156" s="68"/>
      <c r="G156" s="68"/>
      <c r="H156" s="68"/>
      <c r="I156" s="62"/>
      <c r="J156" s="68"/>
      <c r="K156" s="68"/>
    </row>
    <row r="157" spans="3:11" x14ac:dyDescent="0.2">
      <c r="E157" s="68"/>
      <c r="F157" s="68"/>
      <c r="G157" s="68"/>
      <c r="H157" s="68"/>
      <c r="I157" s="62"/>
      <c r="J157" s="68"/>
      <c r="K157" s="68"/>
    </row>
    <row r="158" spans="3:11" x14ac:dyDescent="0.2">
      <c r="C158" s="26">
        <v>1</v>
      </c>
      <c r="D158" s="26">
        <v>25</v>
      </c>
      <c r="E158" s="70">
        <v>26.765923303272011</v>
      </c>
      <c r="F158" s="70">
        <v>1.8215965480065481</v>
      </c>
      <c r="G158" s="70">
        <v>14.541768970952097</v>
      </c>
      <c r="H158" s="70">
        <v>0</v>
      </c>
      <c r="I158" s="72">
        <v>0</v>
      </c>
      <c r="J158" s="70">
        <v>0</v>
      </c>
      <c r="K158" s="70">
        <v>0</v>
      </c>
    </row>
    <row r="159" spans="3:11" x14ac:dyDescent="0.2">
      <c r="C159" s="26">
        <v>2</v>
      </c>
      <c r="D159" s="26">
        <v>26</v>
      </c>
      <c r="E159" s="70">
        <v>25.979299218695086</v>
      </c>
      <c r="F159" s="70">
        <v>1.8215965480065481</v>
      </c>
      <c r="G159" s="70">
        <v>13.970822422273809</v>
      </c>
      <c r="H159" s="70">
        <v>0.53009732146863442</v>
      </c>
      <c r="I159" s="72">
        <v>0.95</v>
      </c>
      <c r="J159" s="70">
        <v>0.5035924553952027</v>
      </c>
      <c r="K159" s="70">
        <v>7.6026546545851259</v>
      </c>
    </row>
    <row r="160" spans="3:11" x14ac:dyDescent="0.2">
      <c r="C160" s="26">
        <v>3</v>
      </c>
      <c r="D160" s="26">
        <v>27</v>
      </c>
      <c r="E160" s="70">
        <v>25.152128903689203</v>
      </c>
      <c r="F160" s="70">
        <v>1.8215965480065481</v>
      </c>
      <c r="G160" s="70">
        <v>13.382000631983534</v>
      </c>
      <c r="H160" s="70">
        <v>0.77552274704655133</v>
      </c>
      <c r="I160" s="72">
        <v>0.95</v>
      </c>
      <c r="J160" s="70">
        <v>0.73674660969422368</v>
      </c>
      <c r="K160" s="70">
        <v>10.997477466068631</v>
      </c>
    </row>
    <row r="161" spans="3:11" x14ac:dyDescent="0.2">
      <c r="C161" s="26">
        <v>4</v>
      </c>
      <c r="D161" s="26">
        <v>28</v>
      </c>
      <c r="E161" s="70">
        <v>24.267462107139838</v>
      </c>
      <c r="F161" s="70">
        <v>1.8215965480065481</v>
      </c>
      <c r="G161" s="70">
        <v>12.774922520777947</v>
      </c>
      <c r="H161" s="70">
        <v>0.99670734223962043</v>
      </c>
      <c r="I161" s="72">
        <v>0.95</v>
      </c>
      <c r="J161" s="70">
        <v>0.94687197512763932</v>
      </c>
      <c r="K161" s="70">
        <v>13.995908977789918</v>
      </c>
    </row>
    <row r="162" spans="3:11" x14ac:dyDescent="0.2">
      <c r="C162" s="26">
        <v>5</v>
      </c>
      <c r="D162" s="26">
        <v>29</v>
      </c>
      <c r="E162" s="70">
        <v>23.32341565796046</v>
      </c>
      <c r="F162" s="70">
        <v>1.8215965480065481</v>
      </c>
      <c r="G162" s="70">
        <v>12.148969231726001</v>
      </c>
      <c r="H162" s="70">
        <v>1.1928952436106108</v>
      </c>
      <c r="I162" s="72">
        <v>0.95</v>
      </c>
      <c r="J162" s="70">
        <v>1.1332504814300803</v>
      </c>
      <c r="K162" s="70">
        <v>16.567096644673757</v>
      </c>
    </row>
    <row r="163" spans="3:11" x14ac:dyDescent="0.2">
      <c r="C163" s="26">
        <v>6</v>
      </c>
      <c r="D163" s="26">
        <v>30</v>
      </c>
      <c r="E163" s="70">
        <v>22.271027809533965</v>
      </c>
      <c r="F163" s="70">
        <v>1.8215965480065481</v>
      </c>
      <c r="G163" s="70">
        <v>11.504053572680021</v>
      </c>
      <c r="H163" s="70">
        <v>1.3152835334576416</v>
      </c>
      <c r="I163" s="72">
        <v>0.95</v>
      </c>
      <c r="J163" s="70">
        <v>1.2495193567847596</v>
      </c>
      <c r="K163" s="70">
        <v>18.018959213184647</v>
      </c>
    </row>
    <row r="164" spans="3:11" x14ac:dyDescent="0.2">
      <c r="C164" s="26">
        <v>7</v>
      </c>
      <c r="D164" s="26">
        <v>31</v>
      </c>
      <c r="E164" s="70">
        <v>21.10667033067903</v>
      </c>
      <c r="F164" s="70">
        <v>1.8215965480065481</v>
      </c>
      <c r="G164" s="70">
        <v>10.839466661450658</v>
      </c>
      <c r="H164" s="70">
        <v>1.3615352779484482</v>
      </c>
      <c r="I164" s="72">
        <v>0.95</v>
      </c>
      <c r="J164" s="70">
        <v>1.2934585140510257</v>
      </c>
      <c r="K164" s="70">
        <v>18.353521136545194</v>
      </c>
    </row>
    <row r="165" spans="3:11" x14ac:dyDescent="0.2">
      <c r="C165" s="26">
        <v>8</v>
      </c>
      <c r="D165" s="26">
        <v>32</v>
      </c>
      <c r="E165" s="70">
        <v>19.90513284929327</v>
      </c>
      <c r="F165" s="70">
        <v>1.8215965480065481</v>
      </c>
      <c r="G165" s="70">
        <v>10.15365830964984</v>
      </c>
      <c r="H165" s="70">
        <v>1.4092639227971198</v>
      </c>
      <c r="I165" s="72">
        <v>0.95</v>
      </c>
      <c r="J165" s="70">
        <v>1.3388007266572637</v>
      </c>
      <c r="K165" s="70">
        <v>18.636046067262217</v>
      </c>
    </row>
    <row r="166" spans="3:11" x14ac:dyDescent="0.2">
      <c r="C166" s="26">
        <v>9</v>
      </c>
      <c r="D166" s="26">
        <v>33</v>
      </c>
      <c r="E166" s="70">
        <v>18.696688742057464</v>
      </c>
      <c r="F166" s="70">
        <v>1.8215965480065481</v>
      </c>
      <c r="G166" s="70">
        <v>9.4456480513538228</v>
      </c>
      <c r="H166" s="70">
        <v>1.4905288580265612</v>
      </c>
      <c r="I166" s="72">
        <v>0.95</v>
      </c>
      <c r="J166" s="70">
        <v>1.4160024151252331</v>
      </c>
      <c r="K166" s="70">
        <v>19.278332945728607</v>
      </c>
    </row>
    <row r="167" spans="3:11" x14ac:dyDescent="0.2">
      <c r="C167" s="26">
        <v>10</v>
      </c>
      <c r="D167" s="26">
        <v>34</v>
      </c>
      <c r="E167" s="70">
        <v>17.465446378513555</v>
      </c>
      <c r="F167" s="70">
        <v>1.8215965480065481</v>
      </c>
      <c r="G167" s="70">
        <v>8.7149134951095171</v>
      </c>
      <c r="H167" s="70">
        <v>1.5903900396463779</v>
      </c>
      <c r="I167" s="72">
        <v>0.95</v>
      </c>
      <c r="J167" s="70">
        <v>1.510870537664059</v>
      </c>
      <c r="K167" s="70">
        <v>20.072037657810018</v>
      </c>
    </row>
    <row r="168" spans="3:11" x14ac:dyDescent="0.2">
      <c r="C168" s="26">
        <v>11</v>
      </c>
      <c r="D168" s="26">
        <v>35</v>
      </c>
      <c r="E168" s="70">
        <v>16.210718749367864</v>
      </c>
      <c r="F168" s="70">
        <v>1.8215965480065481</v>
      </c>
      <c r="G168" s="70">
        <v>7.9607539430919054</v>
      </c>
      <c r="H168" s="70">
        <v>1.7094368471021326</v>
      </c>
      <c r="I168" s="72">
        <v>0.95</v>
      </c>
      <c r="J168" s="70">
        <v>1.623965004747026</v>
      </c>
      <c r="K168" s="70">
        <v>21.003948658843292</v>
      </c>
    </row>
    <row r="169" spans="3:11" x14ac:dyDescent="0.2">
      <c r="C169" s="26">
        <v>12</v>
      </c>
      <c r="D169" s="26">
        <v>36</v>
      </c>
      <c r="E169" s="70">
        <v>14.916008455135769</v>
      </c>
      <c r="F169" s="70">
        <v>1.8215965480065481</v>
      </c>
      <c r="G169" s="70">
        <v>7.1825626346280718</v>
      </c>
      <c r="H169" s="70">
        <v>1.832277154056456</v>
      </c>
      <c r="I169" s="72">
        <v>0.95</v>
      </c>
      <c r="J169" s="70">
        <v>1.740663296353633</v>
      </c>
      <c r="K169" s="70">
        <v>21.848393895177097</v>
      </c>
    </row>
    <row r="170" spans="3:11" x14ac:dyDescent="0.2">
      <c r="C170" s="26">
        <v>13</v>
      </c>
      <c r="D170" s="26">
        <v>37</v>
      </c>
      <c r="E170" s="70">
        <v>13.548417797537285</v>
      </c>
      <c r="F170" s="70">
        <v>1.8215965480065481</v>
      </c>
      <c r="G170" s="70">
        <v>6.3797783057494906</v>
      </c>
      <c r="H170" s="70">
        <v>1.9270356587369495</v>
      </c>
      <c r="I170" s="72">
        <v>0.95</v>
      </c>
      <c r="J170" s="70">
        <v>1.8306838758001018</v>
      </c>
      <c r="K170" s="70">
        <v>22.278212799564862</v>
      </c>
    </row>
    <row r="171" spans="3:11" x14ac:dyDescent="0.2">
      <c r="C171" s="26">
        <v>14</v>
      </c>
      <c r="D171" s="26">
        <v>38</v>
      </c>
      <c r="E171" s="70">
        <v>12.089695676901403</v>
      </c>
      <c r="F171" s="70">
        <v>1.8215965480065481</v>
      </c>
      <c r="G171" s="70">
        <v>5.5516531761184886</v>
      </c>
      <c r="H171" s="70">
        <v>1.9768234155543745</v>
      </c>
      <c r="I171" s="72">
        <v>0.95</v>
      </c>
      <c r="J171" s="70">
        <v>1.8779822447766557</v>
      </c>
      <c r="K171" s="70">
        <v>22.094575272643286</v>
      </c>
    </row>
    <row r="172" spans="3:11" x14ac:dyDescent="0.2">
      <c r="C172" s="26">
        <v>15</v>
      </c>
      <c r="D172" s="26">
        <v>39</v>
      </c>
      <c r="E172" s="70">
        <v>10.5367857644484</v>
      </c>
      <c r="F172" s="70">
        <v>1.8215965480065481</v>
      </c>
      <c r="G172" s="70">
        <v>4.6972967378865915</v>
      </c>
      <c r="H172" s="70">
        <v>1.9802062417517661</v>
      </c>
      <c r="I172" s="72">
        <v>0.95</v>
      </c>
      <c r="J172" s="70">
        <v>1.8811959296641776</v>
      </c>
      <c r="K172" s="70">
        <v>21.388904334886284</v>
      </c>
    </row>
    <row r="173" spans="3:11" x14ac:dyDescent="0.2">
      <c r="C173" s="26">
        <v>16</v>
      </c>
      <c r="D173" s="26">
        <v>40</v>
      </c>
      <c r="E173" s="70">
        <v>8.8229587569160035</v>
      </c>
      <c r="F173" s="70">
        <v>1.8215965480065481</v>
      </c>
      <c r="G173" s="70">
        <v>3.8160308712475066</v>
      </c>
      <c r="H173" s="70">
        <v>1.8716900947651247</v>
      </c>
      <c r="I173" s="72">
        <v>0.95</v>
      </c>
      <c r="J173" s="70">
        <v>1.7781055900268683</v>
      </c>
      <c r="K173" s="70">
        <v>19.504935502089058</v>
      </c>
    </row>
    <row r="174" spans="3:11" x14ac:dyDescent="0.2">
      <c r="C174" s="26">
        <v>17</v>
      </c>
      <c r="D174" s="26">
        <v>41</v>
      </c>
      <c r="E174" s="70">
        <v>6.9585666865995197</v>
      </c>
      <c r="F174" s="70">
        <v>1.8215965480065481</v>
      </c>
      <c r="G174" s="70">
        <v>2.9067438562126426</v>
      </c>
      <c r="H174" s="70">
        <v>1.6636521121833274</v>
      </c>
      <c r="I174" s="72">
        <v>0.95</v>
      </c>
      <c r="J174" s="70">
        <v>1.580469506574161</v>
      </c>
      <c r="K174" s="70">
        <v>16.678490152875892</v>
      </c>
    </row>
    <row r="175" spans="3:11" x14ac:dyDescent="0.2">
      <c r="C175" s="26">
        <v>18</v>
      </c>
      <c r="D175" s="26">
        <v>42</v>
      </c>
      <c r="E175" s="70">
        <v>4.8745546611367514</v>
      </c>
      <c r="F175" s="70">
        <v>1.8215965480065481</v>
      </c>
      <c r="G175" s="70">
        <v>1.9684815533980584</v>
      </c>
      <c r="H175" s="70">
        <v>1.2887754586522808</v>
      </c>
      <c r="I175" s="72">
        <v>0.95</v>
      </c>
      <c r="J175" s="70">
        <v>1.2243366857196667</v>
      </c>
      <c r="K175" s="70">
        <v>12.403740859050746</v>
      </c>
    </row>
    <row r="176" spans="3:11" x14ac:dyDescent="0.2">
      <c r="C176" s="26">
        <v>19</v>
      </c>
      <c r="D176" s="26">
        <v>43</v>
      </c>
      <c r="E176" s="70">
        <v>2.5631067961164895</v>
      </c>
      <c r="F176" s="70">
        <v>1.8215965480065481</v>
      </c>
      <c r="G176" s="70">
        <v>0.99999999999999789</v>
      </c>
      <c r="H176" s="70">
        <v>0.74151024810994515</v>
      </c>
      <c r="I176" s="72">
        <v>0.95</v>
      </c>
      <c r="J176" s="70">
        <v>0.70443473570444781</v>
      </c>
      <c r="K176" s="70">
        <v>6.847760919173421</v>
      </c>
    </row>
    <row r="177" spans="3:11" x14ac:dyDescent="0.2">
      <c r="C177" s="26">
        <v>20</v>
      </c>
      <c r="D177" s="26">
        <v>44</v>
      </c>
      <c r="E177" s="70">
        <v>0</v>
      </c>
      <c r="F177" s="70">
        <v>1.8215965480065481</v>
      </c>
      <c r="G177" s="70">
        <v>0</v>
      </c>
      <c r="H177" s="70">
        <v>0</v>
      </c>
      <c r="I177" s="72">
        <v>0.95</v>
      </c>
      <c r="J177" s="70">
        <v>0</v>
      </c>
      <c r="K177" s="70"/>
    </row>
    <row r="178" spans="3:11" x14ac:dyDescent="0.2">
      <c r="E178" s="68"/>
      <c r="F178" s="68"/>
      <c r="G178" s="68"/>
      <c r="H178" s="68"/>
      <c r="I178" s="62"/>
      <c r="J178" s="68"/>
      <c r="K178" s="68"/>
    </row>
    <row r="179" spans="3:11" x14ac:dyDescent="0.2">
      <c r="E179" s="68"/>
      <c r="F179" s="68"/>
      <c r="G179" s="68"/>
      <c r="H179" s="68"/>
      <c r="I179" s="62"/>
      <c r="J179" s="68"/>
      <c r="K179" s="68"/>
    </row>
    <row r="180" spans="3:11" x14ac:dyDescent="0.2">
      <c r="C180" s="26">
        <v>1</v>
      </c>
      <c r="D180" s="26">
        <v>26</v>
      </c>
      <c r="E180" s="70">
        <v>27.556177419399265</v>
      </c>
      <c r="F180" s="70">
        <v>1.8748604371215516</v>
      </c>
      <c r="G180" s="70">
        <v>14.53792596512481</v>
      </c>
      <c r="H180" s="70">
        <v>0</v>
      </c>
      <c r="I180" s="72">
        <v>0</v>
      </c>
      <c r="J180" s="70">
        <v>0</v>
      </c>
      <c r="K180" s="70">
        <v>0</v>
      </c>
    </row>
    <row r="181" spans="3:11" x14ac:dyDescent="0.2">
      <c r="C181" s="26">
        <v>2</v>
      </c>
      <c r="D181" s="26">
        <v>27</v>
      </c>
      <c r="E181" s="70">
        <v>26.778994524958357</v>
      </c>
      <c r="F181" s="70">
        <v>1.8748604371215516</v>
      </c>
      <c r="G181" s="70">
        <v>13.967081494381295</v>
      </c>
      <c r="H181" s="70">
        <v>0.59266600909030842</v>
      </c>
      <c r="I181" s="72">
        <v>0.95</v>
      </c>
      <c r="J181" s="70">
        <v>0.56303270863579302</v>
      </c>
      <c r="K181" s="70">
        <v>8.1585848932174905</v>
      </c>
    </row>
    <row r="182" spans="3:11" x14ac:dyDescent="0.2">
      <c r="C182" s="26">
        <v>3</v>
      </c>
      <c r="D182" s="26">
        <v>28</v>
      </c>
      <c r="E182" s="70">
        <v>25.945953562692395</v>
      </c>
      <c r="F182" s="70">
        <v>1.8748604371215516</v>
      </c>
      <c r="G182" s="70">
        <v>13.378569936706402</v>
      </c>
      <c r="H182" s="70">
        <v>0.8630020830977827</v>
      </c>
      <c r="I182" s="72">
        <v>0.95</v>
      </c>
      <c r="J182" s="70">
        <v>0.81985197894289352</v>
      </c>
      <c r="K182" s="70">
        <v>11.746562306186712</v>
      </c>
    </row>
    <row r="183" spans="3:11" x14ac:dyDescent="0.2">
      <c r="C183" s="26">
        <v>4</v>
      </c>
      <c r="D183" s="26">
        <v>29</v>
      </c>
      <c r="E183" s="70">
        <v>25.055226717713893</v>
      </c>
      <c r="F183" s="70">
        <v>1.8748604371215516</v>
      </c>
      <c r="G183" s="70">
        <v>12.771792343299323</v>
      </c>
      <c r="H183" s="70">
        <v>1.1098985421300398</v>
      </c>
      <c r="I183" s="72">
        <v>0.95</v>
      </c>
      <c r="J183" s="70">
        <v>1.0544036150235379</v>
      </c>
      <c r="K183" s="70">
        <v>14.918409573606658</v>
      </c>
    </row>
    <row r="184" spans="3:11" x14ac:dyDescent="0.2">
      <c r="C184" s="26">
        <v>5</v>
      </c>
      <c r="D184" s="26">
        <v>30</v>
      </c>
      <c r="E184" s="70">
        <v>24.057995447086494</v>
      </c>
      <c r="F184" s="70">
        <v>1.8748604371215516</v>
      </c>
      <c r="G184" s="70">
        <v>12.146713023336121</v>
      </c>
      <c r="H184" s="70">
        <v>1.2846037585644901</v>
      </c>
      <c r="I184" s="72">
        <v>0.95</v>
      </c>
      <c r="J184" s="70">
        <v>1.2203735706362655</v>
      </c>
      <c r="K184" s="70">
        <v>17.006893605130131</v>
      </c>
    </row>
    <row r="185" spans="3:11" x14ac:dyDescent="0.2">
      <c r="C185" s="26">
        <v>6</v>
      </c>
      <c r="D185" s="26">
        <v>31</v>
      </c>
      <c r="E185" s="70">
        <v>22.950699019062789</v>
      </c>
      <c r="F185" s="70">
        <v>1.8748604371215516</v>
      </c>
      <c r="G185" s="70">
        <v>11.50264736991268</v>
      </c>
      <c r="H185" s="70">
        <v>1.3848405430532367</v>
      </c>
      <c r="I185" s="72">
        <v>0.95</v>
      </c>
      <c r="J185" s="70">
        <v>1.3155985159005747</v>
      </c>
      <c r="K185" s="70">
        <v>18.013825102720322</v>
      </c>
    </row>
    <row r="186" spans="3:11" x14ac:dyDescent="0.2">
      <c r="C186" s="26">
        <v>7</v>
      </c>
      <c r="D186" s="26">
        <v>32</v>
      </c>
      <c r="E186" s="70">
        <v>21.808044649218001</v>
      </c>
      <c r="F186" s="70">
        <v>1.8748604371215516</v>
      </c>
      <c r="G186" s="70">
        <v>10.838015556131136</v>
      </c>
      <c r="H186" s="70">
        <v>1.4882780661198041</v>
      </c>
      <c r="I186" s="72">
        <v>0.95</v>
      </c>
      <c r="J186" s="70">
        <v>1.4138641628138138</v>
      </c>
      <c r="K186" s="70">
        <v>18.966097318063522</v>
      </c>
    </row>
    <row r="187" spans="3:11" x14ac:dyDescent="0.2">
      <c r="C187" s="26">
        <v>8</v>
      </c>
      <c r="D187" s="26">
        <v>33</v>
      </c>
      <c r="E187" s="70">
        <v>20.66030094242862</v>
      </c>
      <c r="F187" s="70">
        <v>1.8748604371215516</v>
      </c>
      <c r="G187" s="70">
        <v>10.151835399950976</v>
      </c>
      <c r="H187" s="70">
        <v>1.6270263868904919</v>
      </c>
      <c r="I187" s="72">
        <v>0.95</v>
      </c>
      <c r="J187" s="70">
        <v>1.5456750675459672</v>
      </c>
      <c r="K187" s="70">
        <v>20.254804668868477</v>
      </c>
    </row>
    <row r="188" spans="3:11" x14ac:dyDescent="0.2">
      <c r="C188" s="26">
        <v>9</v>
      </c>
      <c r="D188" s="26">
        <v>34</v>
      </c>
      <c r="E188" s="70">
        <v>19.491662763582209</v>
      </c>
      <c r="F188" s="70">
        <v>1.8748604371215516</v>
      </c>
      <c r="G188" s="70">
        <v>9.443615616834613</v>
      </c>
      <c r="H188" s="70">
        <v>1.7862014601957554</v>
      </c>
      <c r="I188" s="72">
        <v>0.95</v>
      </c>
      <c r="J188" s="70">
        <v>1.6968913871859677</v>
      </c>
      <c r="K188" s="70">
        <v>21.673329670706615</v>
      </c>
    </row>
    <row r="189" spans="3:11" x14ac:dyDescent="0.2">
      <c r="C189" s="26">
        <v>10</v>
      </c>
      <c r="D189" s="26">
        <v>35</v>
      </c>
      <c r="E189" s="70">
        <v>18.301501761674832</v>
      </c>
      <c r="F189" s="70">
        <v>1.8748604371215516</v>
      </c>
      <c r="G189" s="70">
        <v>8.7126766046408335</v>
      </c>
      <c r="H189" s="70">
        <v>1.9664490941992021</v>
      </c>
      <c r="I189" s="72">
        <v>0.95</v>
      </c>
      <c r="J189" s="70">
        <v>1.868126639489242</v>
      </c>
      <c r="K189" s="70">
        <v>23.204670023447893</v>
      </c>
    </row>
    <row r="190" spans="3:11" x14ac:dyDescent="0.2">
      <c r="C190" s="26">
        <v>11</v>
      </c>
      <c r="D190" s="26">
        <v>36</v>
      </c>
      <c r="E190" s="70">
        <v>17.073415549839165</v>
      </c>
      <c r="F190" s="70">
        <v>1.8748604371215516</v>
      </c>
      <c r="G190" s="70">
        <v>7.9584457727371687</v>
      </c>
      <c r="H190" s="70">
        <v>2.152440429556993</v>
      </c>
      <c r="I190" s="72">
        <v>0.95</v>
      </c>
      <c r="J190" s="70">
        <v>2.0448184080791432</v>
      </c>
      <c r="K190" s="70">
        <v>24.628316293454809</v>
      </c>
    </row>
    <row r="191" spans="3:11" x14ac:dyDescent="0.2">
      <c r="C191" s="26">
        <v>12</v>
      </c>
      <c r="D191" s="26">
        <v>37</v>
      </c>
      <c r="E191" s="70">
        <v>15.774643360116931</v>
      </c>
      <c r="F191" s="70">
        <v>1.8748604371215516</v>
      </c>
      <c r="G191" s="70">
        <v>7.1804111023476009</v>
      </c>
      <c r="H191" s="70">
        <v>2.3123746620570653</v>
      </c>
      <c r="I191" s="72">
        <v>0.95</v>
      </c>
      <c r="J191" s="70">
        <v>2.1967559289542118</v>
      </c>
      <c r="K191" s="70">
        <v>25.628426511267605</v>
      </c>
    </row>
    <row r="192" spans="3:11" x14ac:dyDescent="0.2">
      <c r="C192" s="26">
        <v>13</v>
      </c>
      <c r="D192" s="26">
        <v>38</v>
      </c>
      <c r="E192" s="70">
        <v>14.387045402640636</v>
      </c>
      <c r="F192" s="70">
        <v>1.8748604371215516</v>
      </c>
      <c r="G192" s="70">
        <v>6.3778648442439634</v>
      </c>
      <c r="H192" s="70">
        <v>2.4294389328592221</v>
      </c>
      <c r="I192" s="72">
        <v>0.95</v>
      </c>
      <c r="J192" s="70">
        <v>2.3079669862162611</v>
      </c>
      <c r="K192" s="70">
        <v>26.012684353348892</v>
      </c>
    </row>
    <row r="193" spans="3:11" x14ac:dyDescent="0.2">
      <c r="C193" s="26">
        <v>14</v>
      </c>
      <c r="D193" s="26">
        <v>39</v>
      </c>
      <c r="E193" s="70">
        <v>12.907645967312554</v>
      </c>
      <c r="F193" s="70">
        <v>1.8748604371215516</v>
      </c>
      <c r="G193" s="70">
        <v>5.5499454840283606</v>
      </c>
      <c r="H193" s="70">
        <v>2.5022727511263607</v>
      </c>
      <c r="I193" s="72">
        <v>0.95</v>
      </c>
      <c r="J193" s="70">
        <v>2.3771591135700425</v>
      </c>
      <c r="K193" s="70">
        <v>25.868472762436802</v>
      </c>
    </row>
    <row r="194" spans="3:11" x14ac:dyDescent="0.2">
      <c r="C194" s="26">
        <v>15</v>
      </c>
      <c r="D194" s="26">
        <v>40</v>
      </c>
      <c r="E194" s="70">
        <v>11.269956216663644</v>
      </c>
      <c r="F194" s="70">
        <v>1.8748604371215516</v>
      </c>
      <c r="G194" s="70">
        <v>4.6960613822600834</v>
      </c>
      <c r="H194" s="70">
        <v>2.4654965207698663</v>
      </c>
      <c r="I194" s="72">
        <v>0.95</v>
      </c>
      <c r="J194" s="70">
        <v>2.3422216947313728</v>
      </c>
      <c r="K194" s="70">
        <v>24.566846135294274</v>
      </c>
    </row>
    <row r="195" spans="3:11" x14ac:dyDescent="0.2">
      <c r="C195" s="26">
        <v>16</v>
      </c>
      <c r="D195" s="26">
        <v>41</v>
      </c>
      <c r="E195" s="70">
        <v>9.4843894341102519</v>
      </c>
      <c r="F195" s="70">
        <v>1.8748604371215516</v>
      </c>
      <c r="G195" s="70">
        <v>3.815122847112085</v>
      </c>
      <c r="H195" s="70">
        <v>2.3315665453012695</v>
      </c>
      <c r="I195" s="72">
        <v>0.95</v>
      </c>
      <c r="J195" s="70">
        <v>2.2149882180362059</v>
      </c>
      <c r="K195" s="70">
        <v>22.332967753575321</v>
      </c>
    </row>
    <row r="196" spans="3:11" x14ac:dyDescent="0.2">
      <c r="C196" s="26">
        <v>17</v>
      </c>
      <c r="D196" s="26">
        <v>42</v>
      </c>
      <c r="E196" s="70">
        <v>7.4821600138053563</v>
      </c>
      <c r="F196" s="70">
        <v>1.8748604371215516</v>
      </c>
      <c r="G196" s="70">
        <v>2.9062725845602815</v>
      </c>
      <c r="H196" s="70">
        <v>2.0333045255222855</v>
      </c>
      <c r="I196" s="72">
        <v>0.95</v>
      </c>
      <c r="J196" s="70">
        <v>1.9316392992461711</v>
      </c>
      <c r="K196" s="70">
        <v>18.684131814484761</v>
      </c>
    </row>
    <row r="197" spans="3:11" x14ac:dyDescent="0.2">
      <c r="C197" s="26">
        <v>18</v>
      </c>
      <c r="D197" s="26">
        <v>43</v>
      </c>
      <c r="E197" s="70">
        <v>5.2555745499104995</v>
      </c>
      <c r="F197" s="70">
        <v>1.8748604371215516</v>
      </c>
      <c r="G197" s="70">
        <v>1.9683106796116507</v>
      </c>
      <c r="H197" s="70">
        <v>1.5652667287427819</v>
      </c>
      <c r="I197" s="72">
        <v>0.95</v>
      </c>
      <c r="J197" s="70">
        <v>1.4870033923056427</v>
      </c>
      <c r="K197" s="70">
        <v>13.780243701863238</v>
      </c>
    </row>
    <row r="198" spans="3:11" x14ac:dyDescent="0.2">
      <c r="C198" s="26">
        <v>19</v>
      </c>
      <c r="D198" s="26">
        <v>44</v>
      </c>
      <c r="E198" s="70">
        <v>2.780582524271908</v>
      </c>
      <c r="F198" s="70">
        <v>1.8748604371215516</v>
      </c>
      <c r="G198" s="70">
        <v>1.0000000000000022</v>
      </c>
      <c r="H198" s="70">
        <v>0.90572208715035218</v>
      </c>
      <c r="I198" s="72">
        <v>0.95</v>
      </c>
      <c r="J198" s="70">
        <v>0.86043598279283451</v>
      </c>
      <c r="K198" s="70">
        <v>7.6107182745774669</v>
      </c>
    </row>
    <row r="199" spans="3:11" x14ac:dyDescent="0.2">
      <c r="C199" s="26">
        <v>20</v>
      </c>
      <c r="D199" s="26">
        <v>45</v>
      </c>
      <c r="E199" s="70">
        <v>0</v>
      </c>
      <c r="F199" s="70">
        <v>1.8748604371215516</v>
      </c>
      <c r="G199" s="70">
        <v>0</v>
      </c>
      <c r="H199" s="70">
        <v>0</v>
      </c>
      <c r="I199" s="72">
        <v>0.95</v>
      </c>
      <c r="J199" s="70">
        <v>0</v>
      </c>
      <c r="K199" s="70"/>
    </row>
    <row r="200" spans="3:11" x14ac:dyDescent="0.2">
      <c r="E200" s="68"/>
      <c r="F200" s="68"/>
      <c r="G200" s="68"/>
      <c r="H200" s="68"/>
      <c r="I200" s="62"/>
      <c r="J200" s="68"/>
      <c r="K200" s="68"/>
    </row>
    <row r="201" spans="3:11" x14ac:dyDescent="0.2">
      <c r="E201" s="68"/>
      <c r="F201" s="68"/>
      <c r="G201" s="68"/>
      <c r="H201" s="68"/>
      <c r="I201" s="62"/>
      <c r="J201" s="68"/>
      <c r="K201" s="68"/>
    </row>
    <row r="202" spans="3:11" x14ac:dyDescent="0.2">
      <c r="C202">
        <v>1</v>
      </c>
      <c r="D202">
        <v>27</v>
      </c>
      <c r="E202" s="68">
        <v>28.503529050713315</v>
      </c>
      <c r="F202" s="68">
        <v>1.9372870255253214</v>
      </c>
      <c r="G202" s="68">
        <v>14.533494300990865</v>
      </c>
      <c r="H202" s="68">
        <v>0</v>
      </c>
      <c r="I202" s="62">
        <v>0</v>
      </c>
      <c r="J202" s="68">
        <v>0</v>
      </c>
      <c r="K202" s="68">
        <v>0</v>
      </c>
    </row>
    <row r="203" spans="3:11" x14ac:dyDescent="0.2">
      <c r="C203">
        <v>2</v>
      </c>
      <c r="D203">
        <v>28</v>
      </c>
      <c r="E203" s="68">
        <v>27.725213280545997</v>
      </c>
      <c r="F203" s="68">
        <v>1.9372870255253214</v>
      </c>
      <c r="G203" s="68">
        <v>13.962956897608573</v>
      </c>
      <c r="H203" s="68">
        <v>0.67495804483961663</v>
      </c>
      <c r="I203" s="62">
        <v>0.95</v>
      </c>
      <c r="J203" s="68">
        <v>0.64121014259763576</v>
      </c>
      <c r="K203" s="68">
        <v>8.8834426281185088</v>
      </c>
    </row>
    <row r="204" spans="3:11" x14ac:dyDescent="0.2">
      <c r="C204">
        <v>3</v>
      </c>
      <c r="D204">
        <v>29</v>
      </c>
      <c r="E204" s="68">
        <v>26.891007083088624</v>
      </c>
      <c r="F204" s="68">
        <v>1.9372870255253214</v>
      </c>
      <c r="G204" s="68">
        <v>13.374743164835028</v>
      </c>
      <c r="H204" s="68">
        <v>0.98029068012024823</v>
      </c>
      <c r="I204" s="62">
        <v>0.95</v>
      </c>
      <c r="J204" s="68">
        <v>0.93127614611423581</v>
      </c>
      <c r="K204" s="68">
        <v>12.721870508476488</v>
      </c>
    </row>
    <row r="205" spans="3:11" x14ac:dyDescent="0.2">
      <c r="C205">
        <v>4</v>
      </c>
      <c r="D205">
        <v>30</v>
      </c>
      <c r="E205" s="68">
        <v>25.95224371632094</v>
      </c>
      <c r="F205" s="68">
        <v>1.9372870255253214</v>
      </c>
      <c r="G205" s="68">
        <v>12.768867269927789</v>
      </c>
      <c r="H205" s="68">
        <v>1.2152828236349009</v>
      </c>
      <c r="I205" s="62">
        <v>0.95</v>
      </c>
      <c r="J205" s="68">
        <v>1.1545186824531559</v>
      </c>
      <c r="K205" s="68">
        <v>15.511968447629439</v>
      </c>
    </row>
    <row r="206" spans="3:11" x14ac:dyDescent="0.2">
      <c r="C206">
        <v>5</v>
      </c>
      <c r="D206">
        <v>31</v>
      </c>
      <c r="E206" s="68">
        <v>24.905434000259064</v>
      </c>
      <c r="F206" s="68">
        <v>1.9372870255253214</v>
      </c>
      <c r="G206" s="68">
        <v>12.144668106721403</v>
      </c>
      <c r="H206" s="68">
        <v>1.3777260477965214</v>
      </c>
      <c r="I206" s="62">
        <v>0.95</v>
      </c>
      <c r="J206" s="68">
        <v>1.3088397454066953</v>
      </c>
      <c r="K206" s="68">
        <v>17.254597996520971</v>
      </c>
    </row>
    <row r="207" spans="3:11" x14ac:dyDescent="0.2">
      <c r="C207">
        <v>6</v>
      </c>
      <c r="D207">
        <v>32</v>
      </c>
      <c r="E207" s="68">
        <v>23.825197790530702</v>
      </c>
      <c r="F207" s="68">
        <v>1.9372870255253214</v>
      </c>
      <c r="G207" s="68">
        <v>11.500537155478099</v>
      </c>
      <c r="H207" s="68">
        <v>1.5453563726510922</v>
      </c>
      <c r="I207" s="62">
        <v>0.95</v>
      </c>
      <c r="J207" s="68">
        <v>1.4680885540185376</v>
      </c>
      <c r="K207" s="68">
        <v>18.936920908923742</v>
      </c>
    </row>
    <row r="208" spans="3:11" x14ac:dyDescent="0.2">
      <c r="C208">
        <v>7</v>
      </c>
      <c r="D208">
        <v>33</v>
      </c>
      <c r="E208" s="68">
        <v>22.741798633732703</v>
      </c>
      <c r="F208" s="68">
        <v>1.9372870255253214</v>
      </c>
      <c r="G208" s="68">
        <v>10.835490572796385</v>
      </c>
      <c r="H208" s="68">
        <v>1.7503433318523349</v>
      </c>
      <c r="I208" s="62">
        <v>0.95</v>
      </c>
      <c r="J208" s="68">
        <v>1.662826165259718</v>
      </c>
      <c r="K208" s="68">
        <v>20.929094563776907</v>
      </c>
    </row>
    <row r="209" spans="3:11" x14ac:dyDescent="0.2">
      <c r="C209">
        <v>8</v>
      </c>
      <c r="D209">
        <v>34</v>
      </c>
      <c r="E209" s="68">
        <v>21.639523082847752</v>
      </c>
      <c r="F209" s="68">
        <v>1.9372870255253214</v>
      </c>
      <c r="G209" s="68">
        <v>10.149067188532159</v>
      </c>
      <c r="H209" s="68">
        <v>1.9778668973196503</v>
      </c>
      <c r="I209" s="62">
        <v>0.95</v>
      </c>
      <c r="J209" s="68">
        <v>1.8789735524536677</v>
      </c>
      <c r="K209" s="68">
        <v>23.026485988466661</v>
      </c>
    </row>
    <row r="210" spans="3:11" x14ac:dyDescent="0.2">
      <c r="C210">
        <v>9</v>
      </c>
      <c r="D210">
        <v>35</v>
      </c>
      <c r="E210" s="68">
        <v>20.517804966713054</v>
      </c>
      <c r="F210" s="68">
        <v>1.9372870255253214</v>
      </c>
      <c r="G210" s="68">
        <v>9.4406078231323391</v>
      </c>
      <c r="H210" s="68">
        <v>2.2286379178859264</v>
      </c>
      <c r="I210" s="62">
        <v>0.95</v>
      </c>
      <c r="J210" s="68">
        <v>2.1172060219916298</v>
      </c>
      <c r="K210" s="68">
        <v>25.208508417672075</v>
      </c>
    </row>
    <row r="211" spans="3:11" x14ac:dyDescent="0.2">
      <c r="C211">
        <v>10</v>
      </c>
      <c r="D211">
        <v>36</v>
      </c>
      <c r="E211" s="68">
        <v>19.36034261516264</v>
      </c>
      <c r="F211" s="68">
        <v>1.9372870255253214</v>
      </c>
      <c r="G211" s="68">
        <v>8.709572965748384</v>
      </c>
      <c r="H211" s="68">
        <v>2.4873999107522025</v>
      </c>
      <c r="I211" s="62">
        <v>0.95</v>
      </c>
      <c r="J211" s="68">
        <v>2.3630299152145922</v>
      </c>
      <c r="K211" s="68">
        <v>27.260211162792999</v>
      </c>
    </row>
    <row r="212" spans="3:11" x14ac:dyDescent="0.2">
      <c r="C212">
        <v>11</v>
      </c>
      <c r="D212">
        <v>37</v>
      </c>
      <c r="E212" s="68">
        <v>18.134520411174051</v>
      </c>
      <c r="F212" s="68">
        <v>1.9372870255253214</v>
      </c>
      <c r="G212" s="68">
        <v>7.955498271540467</v>
      </c>
      <c r="H212" s="68">
        <v>2.7224368281295845</v>
      </c>
      <c r="I212" s="62">
        <v>0.95</v>
      </c>
      <c r="J212" s="68">
        <v>2.5863149867231052</v>
      </c>
      <c r="K212" s="68">
        <v>28.876881794183568</v>
      </c>
    </row>
    <row r="213" spans="3:11" x14ac:dyDescent="0.2">
      <c r="C213">
        <v>12</v>
      </c>
      <c r="D213">
        <v>38</v>
      </c>
      <c r="E213" s="68">
        <v>16.82231655716922</v>
      </c>
      <c r="F213" s="68">
        <v>1.9372870255253214</v>
      </c>
      <c r="G213" s="68">
        <v>7.1777147451254795</v>
      </c>
      <c r="H213" s="68">
        <v>2.9170229085158397</v>
      </c>
      <c r="I213" s="62">
        <v>0.95</v>
      </c>
      <c r="J213" s="68">
        <v>2.7711717630900474</v>
      </c>
      <c r="K213" s="68">
        <v>29.87299877161238</v>
      </c>
    </row>
    <row r="214" spans="3:11" x14ac:dyDescent="0.2">
      <c r="C214">
        <v>13</v>
      </c>
      <c r="D214">
        <v>39</v>
      </c>
      <c r="E214" s="68">
        <v>15.420840801676324</v>
      </c>
      <c r="F214" s="68">
        <v>1.9372870255253214</v>
      </c>
      <c r="G214" s="68">
        <v>6.3753889404679898</v>
      </c>
      <c r="H214" s="68">
        <v>3.0698825246300618</v>
      </c>
      <c r="I214" s="62">
        <v>0.95</v>
      </c>
      <c r="J214" s="68">
        <v>2.9163883983985586</v>
      </c>
      <c r="K214" s="68">
        <v>30.331666439982836</v>
      </c>
    </row>
    <row r="215" spans="3:11" x14ac:dyDescent="0.2">
      <c r="C215">
        <v>14</v>
      </c>
      <c r="D215">
        <v>40</v>
      </c>
      <c r="E215" s="68">
        <v>13.863859209387426</v>
      </c>
      <c r="F215" s="68">
        <v>1.9372870255253214</v>
      </c>
      <c r="G215" s="68">
        <v>5.5480129391814756</v>
      </c>
      <c r="H215" s="68">
        <v>3.1157657248645503</v>
      </c>
      <c r="I215" s="62">
        <v>0.95</v>
      </c>
      <c r="J215" s="68">
        <v>2.9599774386213227</v>
      </c>
      <c r="K215" s="68">
        <v>29.651167935775732</v>
      </c>
    </row>
    <row r="216" spans="3:11" x14ac:dyDescent="0.2">
      <c r="C216">
        <v>15</v>
      </c>
      <c r="D216">
        <v>41</v>
      </c>
      <c r="E216" s="68">
        <v>12.161849992051977</v>
      </c>
      <c r="F216" s="68">
        <v>1.9372870255253214</v>
      </c>
      <c r="G216" s="68">
        <v>4.6945183747523807</v>
      </c>
      <c r="H216" s="68">
        <v>3.067220453553972</v>
      </c>
      <c r="I216" s="62">
        <v>0.95</v>
      </c>
      <c r="J216" s="68">
        <v>2.9138594308762733</v>
      </c>
      <c r="K216" s="68">
        <v>28.046150117595552</v>
      </c>
    </row>
    <row r="217" spans="3:11" x14ac:dyDescent="0.2">
      <c r="C217">
        <v>16</v>
      </c>
      <c r="D217">
        <v>42</v>
      </c>
      <c r="E217" s="68">
        <v>10.246312996958514</v>
      </c>
      <c r="F217" s="68">
        <v>1.9372870255253214</v>
      </c>
      <c r="G217" s="68">
        <v>3.8141417084913232</v>
      </c>
      <c r="H217" s="68">
        <v>2.8572257515832904</v>
      </c>
      <c r="I217" s="62">
        <v>0.95</v>
      </c>
      <c r="J217" s="68">
        <v>2.7143644640041256</v>
      </c>
      <c r="K217" s="68">
        <v>25.056296200317533</v>
      </c>
    </row>
    <row r="218" spans="3:11" x14ac:dyDescent="0.2">
      <c r="C218">
        <v>17</v>
      </c>
      <c r="D218">
        <v>43</v>
      </c>
      <c r="E218" s="68">
        <v>8.1096846498444908</v>
      </c>
      <c r="F218" s="68">
        <v>1.9372870255253214</v>
      </c>
      <c r="G218" s="68">
        <v>2.9057256677914989</v>
      </c>
      <c r="H218" s="68">
        <v>2.4804600138961197</v>
      </c>
      <c r="I218" s="62">
        <v>0.95</v>
      </c>
      <c r="J218" s="68">
        <v>2.3564370132013135</v>
      </c>
      <c r="K218" s="68">
        <v>20.834346809382591</v>
      </c>
    </row>
    <row r="219" spans="3:11" x14ac:dyDescent="0.2">
      <c r="C219">
        <v>18</v>
      </c>
      <c r="D219">
        <v>44</v>
      </c>
      <c r="E219" s="68">
        <v>5.7280973663871029</v>
      </c>
      <c r="F219" s="68">
        <v>1.9372870255253214</v>
      </c>
      <c r="G219" s="68">
        <v>1.968093203883498</v>
      </c>
      <c r="H219" s="68">
        <v>1.9153359374790413</v>
      </c>
      <c r="I219" s="62">
        <v>0.95</v>
      </c>
      <c r="J219" s="68">
        <v>1.8195691406050891</v>
      </c>
      <c r="K219" s="68">
        <v>15.369699019714066</v>
      </c>
    </row>
    <row r="220" spans="3:11" x14ac:dyDescent="0.2">
      <c r="C220">
        <v>19</v>
      </c>
      <c r="D220">
        <v>45</v>
      </c>
      <c r="E220" s="68">
        <v>3.0446601941747677</v>
      </c>
      <c r="F220" s="68">
        <v>1.9372870255253214</v>
      </c>
      <c r="G220" s="68">
        <v>1.0000000000000007</v>
      </c>
      <c r="H220" s="68">
        <v>1.107373168649445</v>
      </c>
      <c r="I220" s="62">
        <v>0.95</v>
      </c>
      <c r="J220" s="68">
        <v>1.0520045102169726</v>
      </c>
      <c r="K220" s="68">
        <v>8.4954326485444778</v>
      </c>
    </row>
    <row r="221" spans="3:11" x14ac:dyDescent="0.2">
      <c r="C221">
        <v>20</v>
      </c>
      <c r="D221">
        <v>46</v>
      </c>
      <c r="E221" s="68">
        <v>0</v>
      </c>
      <c r="F221" s="68">
        <v>1.9372870255253214</v>
      </c>
      <c r="G221" s="68">
        <v>0</v>
      </c>
      <c r="H221" s="68">
        <v>0</v>
      </c>
      <c r="I221" s="62">
        <v>0.95</v>
      </c>
      <c r="J221" s="68">
        <v>0</v>
      </c>
      <c r="K221" s="68"/>
    </row>
    <row r="222" spans="3:11" x14ac:dyDescent="0.2">
      <c r="E222" s="68"/>
      <c r="F222" s="68"/>
      <c r="G222" s="68"/>
      <c r="H222" s="68"/>
      <c r="I222" s="62"/>
      <c r="J222" s="68"/>
      <c r="K222" s="68"/>
    </row>
    <row r="223" spans="3:11" x14ac:dyDescent="0.2">
      <c r="E223" s="68"/>
      <c r="F223" s="68"/>
      <c r="G223" s="68"/>
      <c r="H223" s="68"/>
      <c r="I223" s="62"/>
      <c r="J223" s="68"/>
      <c r="K223" s="68"/>
    </row>
    <row r="224" spans="3:11" x14ac:dyDescent="0.2">
      <c r="C224">
        <v>1</v>
      </c>
      <c r="D224">
        <v>28</v>
      </c>
      <c r="E224" s="68">
        <v>29.614163108495067</v>
      </c>
      <c r="F224" s="68">
        <v>2.0113388981609264</v>
      </c>
      <c r="G224" s="68">
        <v>14.528543619349136</v>
      </c>
      <c r="H224" s="68">
        <v>0</v>
      </c>
      <c r="I224" s="62">
        <v>0</v>
      </c>
      <c r="J224" s="68">
        <v>0</v>
      </c>
      <c r="K224" s="68">
        <v>0</v>
      </c>
    </row>
    <row r="225" spans="3:11" x14ac:dyDescent="0.2">
      <c r="C225">
        <v>2</v>
      </c>
      <c r="D225">
        <v>29</v>
      </c>
      <c r="E225" s="68">
        <v>28.839962016722545</v>
      </c>
      <c r="F225" s="68">
        <v>2.0113388981609264</v>
      </c>
      <c r="G225" s="68">
        <v>13.958296531591698</v>
      </c>
      <c r="H225" s="68">
        <v>0.76509725066742007</v>
      </c>
      <c r="I225" s="62">
        <v>0.95</v>
      </c>
      <c r="J225" s="68">
        <v>0.726842388134049</v>
      </c>
      <c r="K225" s="68">
        <v>9.5763728031544755</v>
      </c>
    </row>
    <row r="226" spans="3:11" x14ac:dyDescent="0.2">
      <c r="C226">
        <v>3</v>
      </c>
      <c r="D226">
        <v>30</v>
      </c>
      <c r="E226" s="68">
        <v>27.96327105896189</v>
      </c>
      <c r="F226" s="68">
        <v>2.0113388981609264</v>
      </c>
      <c r="G226" s="68">
        <v>13.371006270776677</v>
      </c>
      <c r="H226" s="68">
        <v>1.0696460389950921</v>
      </c>
      <c r="I226" s="62">
        <v>0.95</v>
      </c>
      <c r="J226" s="68">
        <v>1.0161637370453376</v>
      </c>
      <c r="K226" s="68">
        <v>13.150825158728807</v>
      </c>
    </row>
    <row r="227" spans="3:11" x14ac:dyDescent="0.2">
      <c r="C227">
        <v>4</v>
      </c>
      <c r="D227">
        <v>31</v>
      </c>
      <c r="E227" s="68">
        <v>26.980677018108654</v>
      </c>
      <c r="F227" s="68">
        <v>2.0113388981609264</v>
      </c>
      <c r="G227" s="68">
        <v>12.766034475437996</v>
      </c>
      <c r="H227" s="68">
        <v>1.3038553023967943</v>
      </c>
      <c r="I227" s="62">
        <v>0.95</v>
      </c>
      <c r="J227" s="68">
        <v>1.2386625372769544</v>
      </c>
      <c r="K227" s="68">
        <v>15.709464048188549</v>
      </c>
    </row>
    <row r="228" spans="3:11" x14ac:dyDescent="0.2">
      <c r="C228">
        <v>5</v>
      </c>
      <c r="D228">
        <v>32</v>
      </c>
      <c r="E228" s="68">
        <v>25.966707004163702</v>
      </c>
      <c r="F228" s="68">
        <v>2.0113388981609264</v>
      </c>
      <c r="G228" s="68">
        <v>12.141744856071702</v>
      </c>
      <c r="H228" s="68">
        <v>1.5455432836013507</v>
      </c>
      <c r="I228" s="62">
        <v>0.95</v>
      </c>
      <c r="J228" s="68">
        <v>1.4682661194212832</v>
      </c>
      <c r="K228" s="68">
        <v>18.200002392149329</v>
      </c>
    </row>
    <row r="229" spans="3:11" x14ac:dyDescent="0.2">
      <c r="C229">
        <v>6</v>
      </c>
      <c r="D229">
        <v>33</v>
      </c>
      <c r="E229" s="68">
        <v>24.951619193604859</v>
      </c>
      <c r="F229" s="68">
        <v>2.0113388981609264</v>
      </c>
      <c r="G229" s="68">
        <v>11.497151961362757</v>
      </c>
      <c r="H229" s="68">
        <v>1.8269502356487592</v>
      </c>
      <c r="I229" s="62">
        <v>0.95</v>
      </c>
      <c r="J229" s="68">
        <v>1.7356027238663212</v>
      </c>
      <c r="K229" s="68">
        <v>20.97210553381327</v>
      </c>
    </row>
    <row r="230" spans="3:11" x14ac:dyDescent="0.2">
      <c r="C230">
        <v>7</v>
      </c>
      <c r="D230">
        <v>34</v>
      </c>
      <c r="E230" s="68">
        <v>23.919797480016513</v>
      </c>
      <c r="F230" s="68">
        <v>2.0113388981609264</v>
      </c>
      <c r="G230" s="68">
        <v>10.8318237667542</v>
      </c>
      <c r="H230" s="68">
        <v>2.1333289999197866</v>
      </c>
      <c r="I230" s="62">
        <v>0.95</v>
      </c>
      <c r="J230" s="68">
        <v>2.0266625499237971</v>
      </c>
      <c r="K230" s="68">
        <v>23.822997837797207</v>
      </c>
    </row>
    <row r="231" spans="3:11" x14ac:dyDescent="0.2">
      <c r="C231">
        <v>8</v>
      </c>
      <c r="D231">
        <v>35</v>
      </c>
      <c r="E231" s="68">
        <v>22.870741705420453</v>
      </c>
      <c r="F231" s="68">
        <v>2.0113388981609264</v>
      </c>
      <c r="G231" s="68">
        <v>10.145120858268568</v>
      </c>
      <c r="H231" s="68">
        <v>2.4654654966411194</v>
      </c>
      <c r="I231" s="62">
        <v>0.95</v>
      </c>
      <c r="J231" s="68">
        <v>2.3421922218090634</v>
      </c>
      <c r="K231" s="68">
        <v>26.728797033004977</v>
      </c>
    </row>
    <row r="232" spans="3:11" x14ac:dyDescent="0.2">
      <c r="C232">
        <v>9</v>
      </c>
      <c r="D232">
        <v>36</v>
      </c>
      <c r="E232" s="68">
        <v>21.788257125465893</v>
      </c>
      <c r="F232" s="68">
        <v>2.0113388981609264</v>
      </c>
      <c r="G232" s="68">
        <v>9.436535740635696</v>
      </c>
      <c r="H232" s="68">
        <v>2.8081857264394898</v>
      </c>
      <c r="I232" s="62">
        <v>0.95</v>
      </c>
      <c r="J232" s="68">
        <v>2.6677764401175152</v>
      </c>
      <c r="K232" s="68">
        <v>29.480337665905282</v>
      </c>
    </row>
    <row r="233" spans="3:11" x14ac:dyDescent="0.2">
      <c r="C233">
        <v>10</v>
      </c>
      <c r="D233">
        <v>37</v>
      </c>
      <c r="E233" s="68">
        <v>20.639882222519276</v>
      </c>
      <c r="F233" s="68">
        <v>2.0113388981609264</v>
      </c>
      <c r="G233" s="68">
        <v>8.7056502092397654</v>
      </c>
      <c r="H233" s="68">
        <v>3.1298693228925281</v>
      </c>
      <c r="I233" s="62">
        <v>0.95</v>
      </c>
      <c r="J233" s="68">
        <v>2.9733758567479014</v>
      </c>
      <c r="K233" s="68">
        <v>31.783076423128456</v>
      </c>
    </row>
    <row r="234" spans="3:11" x14ac:dyDescent="0.2">
      <c r="C234">
        <v>11</v>
      </c>
      <c r="D234">
        <v>38</v>
      </c>
      <c r="E234" s="68">
        <v>19.407720465433606</v>
      </c>
      <c r="F234" s="68">
        <v>2.0113388981609264</v>
      </c>
      <c r="G234" s="68">
        <v>7.9518327757976657</v>
      </c>
      <c r="H234" s="68">
        <v>3.4138898918007889</v>
      </c>
      <c r="I234" s="62">
        <v>0.95</v>
      </c>
      <c r="J234" s="68">
        <v>3.2431953972107492</v>
      </c>
      <c r="K234" s="68">
        <v>33.458506263338364</v>
      </c>
    </row>
    <row r="235" spans="3:11" x14ac:dyDescent="0.2">
      <c r="C235">
        <v>12</v>
      </c>
      <c r="D235">
        <v>39</v>
      </c>
      <c r="E235" s="68">
        <v>18.08897232982714</v>
      </c>
      <c r="F235" s="68">
        <v>2.0113388981609264</v>
      </c>
      <c r="G235" s="68">
        <v>7.1742771596526831</v>
      </c>
      <c r="H235" s="68">
        <v>3.659069612430212</v>
      </c>
      <c r="I235" s="62">
        <v>0.95</v>
      </c>
      <c r="J235" s="68">
        <v>3.476116131808701</v>
      </c>
      <c r="K235" s="68">
        <v>34.585349610343002</v>
      </c>
    </row>
    <row r="236" spans="3:11" x14ac:dyDescent="0.2">
      <c r="C236">
        <v>13</v>
      </c>
      <c r="D236">
        <v>40</v>
      </c>
      <c r="E236" s="68">
        <v>16.617674497091986</v>
      </c>
      <c r="F236" s="68">
        <v>2.0113388981609264</v>
      </c>
      <c r="G236" s="68">
        <v>6.3725564700930164</v>
      </c>
      <c r="H236" s="68">
        <v>3.8003037880668167</v>
      </c>
      <c r="I236" s="62">
        <v>0.95</v>
      </c>
      <c r="J236" s="68">
        <v>3.6102885986634758</v>
      </c>
      <c r="K236" s="68">
        <v>34.58788824983835</v>
      </c>
    </row>
    <row r="237" spans="3:11" x14ac:dyDescent="0.2">
      <c r="C237">
        <v>14</v>
      </c>
      <c r="D237">
        <v>41</v>
      </c>
      <c r="E237" s="68">
        <v>15.00437411009676</v>
      </c>
      <c r="F237" s="68">
        <v>2.0113388981609264</v>
      </c>
      <c r="G237" s="68">
        <v>5.5456229798646284</v>
      </c>
      <c r="H237" s="68">
        <v>3.8502468961599252</v>
      </c>
      <c r="I237" s="62">
        <v>0.95</v>
      </c>
      <c r="J237" s="68">
        <v>3.6577345513519286</v>
      </c>
      <c r="K237" s="68">
        <v>33.671095234834105</v>
      </c>
    </row>
    <row r="238" spans="3:11" x14ac:dyDescent="0.2">
      <c r="C238">
        <v>15</v>
      </c>
      <c r="D238">
        <v>42</v>
      </c>
      <c r="E238" s="68">
        <v>13.180874067250596</v>
      </c>
      <c r="F238" s="68">
        <v>2.0113388981609264</v>
      </c>
      <c r="G238" s="68">
        <v>4.6928038894218016</v>
      </c>
      <c r="H238" s="68">
        <v>3.7420550630156395</v>
      </c>
      <c r="I238" s="62">
        <v>0.95</v>
      </c>
      <c r="J238" s="68">
        <v>3.5549523098648574</v>
      </c>
      <c r="K238" s="68">
        <v>31.395189504433549</v>
      </c>
    </row>
    <row r="239" spans="3:11" x14ac:dyDescent="0.2">
      <c r="C239">
        <v>16</v>
      </c>
      <c r="D239">
        <v>43</v>
      </c>
      <c r="E239" s="68">
        <v>11.139748629892175</v>
      </c>
      <c r="F239" s="68">
        <v>2.0113388981609264</v>
      </c>
      <c r="G239" s="68">
        <v>3.8129831967011256</v>
      </c>
      <c r="H239" s="68">
        <v>3.4705472083332056</v>
      </c>
      <c r="I239" s="62">
        <v>0.95</v>
      </c>
      <c r="J239" s="68">
        <v>3.2970198479165451</v>
      </c>
      <c r="K239" s="68">
        <v>27.906281401706302</v>
      </c>
    </row>
    <row r="240" spans="3:11" x14ac:dyDescent="0.2">
      <c r="C240">
        <v>17</v>
      </c>
      <c r="D240">
        <v>44</v>
      </c>
      <c r="E240" s="68">
        <v>8.8573244252716705</v>
      </c>
      <c r="F240" s="68">
        <v>2.0113388981609264</v>
      </c>
      <c r="G240" s="68">
        <v>2.9050420034913782</v>
      </c>
      <c r="H240" s="68">
        <v>3.0143004428581115</v>
      </c>
      <c r="I240" s="62">
        <v>0.95</v>
      </c>
      <c r="J240" s="68">
        <v>2.8635854207152058</v>
      </c>
      <c r="K240" s="68">
        <v>23.194188546439467</v>
      </c>
    </row>
    <row r="241" spans="3:11" x14ac:dyDescent="0.2">
      <c r="C241">
        <v>18</v>
      </c>
      <c r="D241">
        <v>45</v>
      </c>
      <c r="E241" s="68">
        <v>6.27702154774249</v>
      </c>
      <c r="F241" s="68">
        <v>2.0113388981609264</v>
      </c>
      <c r="G241" s="68">
        <v>1.967829126213593</v>
      </c>
      <c r="H241" s="68">
        <v>2.3190502812550635</v>
      </c>
      <c r="I241" s="62">
        <v>0.95</v>
      </c>
      <c r="J241" s="68">
        <v>2.2030977671923102</v>
      </c>
      <c r="K241" s="68">
        <v>17.100235647757884</v>
      </c>
    </row>
    <row r="242" spans="3:11" x14ac:dyDescent="0.2">
      <c r="C242">
        <v>19</v>
      </c>
      <c r="D242">
        <v>46</v>
      </c>
      <c r="E242" s="68">
        <v>3.3398058252427156</v>
      </c>
      <c r="F242" s="68">
        <v>2.0113388981609264</v>
      </c>
      <c r="G242" s="68">
        <v>1.0000000000000002</v>
      </c>
      <c r="H242" s="68">
        <v>1.3284669270817888</v>
      </c>
      <c r="I242" s="62">
        <v>0.95</v>
      </c>
      <c r="J242" s="68">
        <v>1.2620435807276993</v>
      </c>
      <c r="K242" s="68">
        <v>9.421808111294661</v>
      </c>
    </row>
    <row r="243" spans="3:11" x14ac:dyDescent="0.2">
      <c r="C243">
        <v>20</v>
      </c>
      <c r="D243">
        <v>47</v>
      </c>
      <c r="E243" s="68">
        <v>0</v>
      </c>
      <c r="F243" s="68">
        <v>2.0113388981609264</v>
      </c>
      <c r="G243" s="68">
        <v>0</v>
      </c>
      <c r="H243" s="68">
        <v>0</v>
      </c>
      <c r="I243" s="62">
        <v>0.95</v>
      </c>
      <c r="J243" s="68">
        <v>0</v>
      </c>
      <c r="K243" s="68"/>
    </row>
    <row r="244" spans="3:11" x14ac:dyDescent="0.2">
      <c r="E244" s="68"/>
      <c r="F244" s="68"/>
      <c r="G244" s="68"/>
      <c r="H244" s="68"/>
      <c r="I244" s="62"/>
      <c r="J244" s="68"/>
      <c r="K244" s="68"/>
    </row>
    <row r="245" spans="3:11" x14ac:dyDescent="0.2">
      <c r="E245" s="68"/>
      <c r="F245" s="68"/>
      <c r="G245" s="68"/>
      <c r="H245" s="68"/>
      <c r="I245" s="62"/>
      <c r="J245" s="68"/>
      <c r="K245" s="68"/>
    </row>
    <row r="246" spans="3:11" x14ac:dyDescent="0.2">
      <c r="C246">
        <v>1</v>
      </c>
      <c r="D246">
        <v>29</v>
      </c>
      <c r="E246" s="68">
        <v>30.936136667209258</v>
      </c>
      <c r="F246" s="68">
        <v>2.0991169417593096</v>
      </c>
      <c r="G246" s="68">
        <v>14.522904243412109</v>
      </c>
      <c r="H246" s="68">
        <v>0</v>
      </c>
      <c r="I246" s="62">
        <v>0</v>
      </c>
      <c r="J246" s="68">
        <v>0</v>
      </c>
      <c r="K246" s="68">
        <v>0</v>
      </c>
    </row>
    <row r="247" spans="3:11" x14ac:dyDescent="0.2">
      <c r="C247">
        <v>2</v>
      </c>
      <c r="D247">
        <v>30</v>
      </c>
      <c r="E247" s="68">
        <v>30.126206930044184</v>
      </c>
      <c r="F247" s="68">
        <v>2.0991169417593096</v>
      </c>
      <c r="G247" s="68">
        <v>13.953596215131988</v>
      </c>
      <c r="H247" s="68">
        <v>0.83597671639204663</v>
      </c>
      <c r="I247" s="62">
        <v>0.95</v>
      </c>
      <c r="J247" s="68">
        <v>0.79417788057244421</v>
      </c>
      <c r="K247" s="68">
        <v>9.8930752960569688</v>
      </c>
    </row>
    <row r="248" spans="3:11" x14ac:dyDescent="0.2">
      <c r="C248">
        <v>3</v>
      </c>
      <c r="D248">
        <v>31</v>
      </c>
      <c r="E248" s="68">
        <v>29.212679273545596</v>
      </c>
      <c r="F248" s="68">
        <v>2.0991169417593096</v>
      </c>
      <c r="G248" s="68">
        <v>13.36722755156247</v>
      </c>
      <c r="H248" s="68">
        <v>1.153305455708999</v>
      </c>
      <c r="I248" s="62">
        <v>0.95</v>
      </c>
      <c r="J248" s="68">
        <v>1.0956401829235489</v>
      </c>
      <c r="K248" s="68">
        <v>13.360659877716174</v>
      </c>
    </row>
    <row r="249" spans="3:11" x14ac:dyDescent="0.2">
      <c r="C249">
        <v>4</v>
      </c>
      <c r="D249">
        <v>32</v>
      </c>
      <c r="E249" s="68">
        <v>28.269981056289335</v>
      </c>
      <c r="F249" s="68">
        <v>2.0991169417593096</v>
      </c>
      <c r="G249" s="68">
        <v>12.762135095007197</v>
      </c>
      <c r="H249" s="68">
        <v>1.4807670653386715</v>
      </c>
      <c r="I249" s="62">
        <v>0.95</v>
      </c>
      <c r="J249" s="68">
        <v>1.406728712071738</v>
      </c>
      <c r="K249" s="68">
        <v>16.749854623981612</v>
      </c>
    </row>
    <row r="250" spans="3:11" x14ac:dyDescent="0.2">
      <c r="C250">
        <v>5</v>
      </c>
      <c r="D250">
        <v>33</v>
      </c>
      <c r="E250" s="68">
        <v>27.328364678987359</v>
      </c>
      <c r="F250" s="68">
        <v>2.0991169417593096</v>
      </c>
      <c r="G250" s="68">
        <v>12.13733183844014</v>
      </c>
      <c r="H250" s="68">
        <v>1.8506857891629949</v>
      </c>
      <c r="I250" s="62">
        <v>0.95</v>
      </c>
      <c r="J250" s="68">
        <v>1.7581514997048451</v>
      </c>
      <c r="K250" s="68">
        <v>20.3903478213375</v>
      </c>
    </row>
    <row r="251" spans="3:11" x14ac:dyDescent="0.2">
      <c r="C251">
        <v>6</v>
      </c>
      <c r="D251">
        <v>34</v>
      </c>
      <c r="E251" s="68">
        <v>26.37231872871812</v>
      </c>
      <c r="F251" s="68">
        <v>2.0991169417593096</v>
      </c>
      <c r="G251" s="68">
        <v>11.492413956650275</v>
      </c>
      <c r="H251" s="68">
        <v>2.2483978906023907</v>
      </c>
      <c r="I251" s="62">
        <v>0.95</v>
      </c>
      <c r="J251" s="68">
        <v>2.1359779960722709</v>
      </c>
      <c r="K251" s="68">
        <v>24.081072190890922</v>
      </c>
    </row>
    <row r="252" spans="3:11" x14ac:dyDescent="0.2">
      <c r="C252">
        <v>7</v>
      </c>
      <c r="D252">
        <v>35</v>
      </c>
      <c r="E252" s="68">
        <v>25.401414047177006</v>
      </c>
      <c r="F252" s="68">
        <v>2.0991169417593096</v>
      </c>
      <c r="G252" s="68">
        <v>10.826761159526198</v>
      </c>
      <c r="H252" s="68">
        <v>2.6747762728338955</v>
      </c>
      <c r="I252" s="62">
        <v>0.95</v>
      </c>
      <c r="J252" s="68">
        <v>2.5410374591922005</v>
      </c>
      <c r="K252" s="68">
        <v>27.795081887788239</v>
      </c>
    </row>
    <row r="253" spans="3:11" x14ac:dyDescent="0.2">
      <c r="C253">
        <v>8</v>
      </c>
      <c r="D253">
        <v>36</v>
      </c>
      <c r="E253" s="68">
        <v>24.399570892766423</v>
      </c>
      <c r="F253" s="68">
        <v>2.0991169417593096</v>
      </c>
      <c r="G253" s="68">
        <v>10.139896927957734</v>
      </c>
      <c r="H253" s="68">
        <v>3.1147414635971664</v>
      </c>
      <c r="I253" s="62">
        <v>0.95</v>
      </c>
      <c r="J253" s="68">
        <v>2.959004390417308</v>
      </c>
      <c r="K253" s="68">
        <v>31.329026690130839</v>
      </c>
    </row>
    <row r="254" spans="3:11" x14ac:dyDescent="0.2">
      <c r="C254">
        <v>9</v>
      </c>
      <c r="D254">
        <v>37</v>
      </c>
      <c r="E254" s="68">
        <v>23.334493487566508</v>
      </c>
      <c r="F254" s="68">
        <v>2.0991169417593096</v>
      </c>
      <c r="G254" s="68">
        <v>9.4314476995636607</v>
      </c>
      <c r="H254" s="68">
        <v>3.5367818360955603</v>
      </c>
      <c r="I254" s="62">
        <v>0.95</v>
      </c>
      <c r="J254" s="68">
        <v>3.3599427442907821</v>
      </c>
      <c r="K254" s="68">
        <v>34.397751048906564</v>
      </c>
    </row>
    <row r="255" spans="3:11" x14ac:dyDescent="0.2">
      <c r="C255">
        <v>10</v>
      </c>
      <c r="D255">
        <v>38</v>
      </c>
      <c r="E255" s="68">
        <v>22.188420029208661</v>
      </c>
      <c r="F255" s="68">
        <v>2.0991169417593096</v>
      </c>
      <c r="G255" s="68">
        <v>8.7008182754546297</v>
      </c>
      <c r="H255" s="68">
        <v>3.9243849800328299</v>
      </c>
      <c r="I255" s="62">
        <v>0.95</v>
      </c>
      <c r="J255" s="68">
        <v>3.7281657310311882</v>
      </c>
      <c r="K255" s="68">
        <v>36.829737852523834</v>
      </c>
    </row>
    <row r="256" spans="3:11" x14ac:dyDescent="0.2">
      <c r="C256">
        <v>11</v>
      </c>
      <c r="D256">
        <v>39</v>
      </c>
      <c r="E256" s="68">
        <v>20.958648573723632</v>
      </c>
      <c r="F256" s="68">
        <v>2.0991169417593096</v>
      </c>
      <c r="G256" s="68">
        <v>7.9472286584009328</v>
      </c>
      <c r="H256" s="68">
        <v>4.2764862568391244</v>
      </c>
      <c r="I256" s="62">
        <v>0.95</v>
      </c>
      <c r="J256" s="68">
        <v>4.0626619439971678</v>
      </c>
      <c r="K256" s="68">
        <v>38.699396449167658</v>
      </c>
    </row>
    <row r="257" spans="3:11" x14ac:dyDescent="0.2">
      <c r="C257">
        <v>12</v>
      </c>
      <c r="D257">
        <v>40</v>
      </c>
      <c r="E257" s="68">
        <v>19.57950686098663</v>
      </c>
      <c r="F257" s="68">
        <v>2.0991169417593096</v>
      </c>
      <c r="G257" s="68">
        <v>7.1703303547194288</v>
      </c>
      <c r="H257" s="68">
        <v>4.5281449353840362</v>
      </c>
      <c r="I257" s="62">
        <v>0.95</v>
      </c>
      <c r="J257" s="68">
        <v>4.3017376886148337</v>
      </c>
      <c r="K257" s="68">
        <v>39.455735796638216</v>
      </c>
    </row>
    <row r="258" spans="3:11" x14ac:dyDescent="0.2">
      <c r="C258">
        <v>13</v>
      </c>
      <c r="D258">
        <v>41</v>
      </c>
      <c r="E258" s="68">
        <v>18.061616171888726</v>
      </c>
      <c r="F258" s="68">
        <v>2.0991169417593096</v>
      </c>
      <c r="G258" s="68">
        <v>6.3690956063409976</v>
      </c>
      <c r="H258" s="68">
        <v>4.6921396809335558</v>
      </c>
      <c r="I258" s="62">
        <v>0.95</v>
      </c>
      <c r="J258" s="68">
        <v>4.4575326968868776</v>
      </c>
      <c r="K258" s="68">
        <v>39.294689779186193</v>
      </c>
    </row>
    <row r="259" spans="3:11" x14ac:dyDescent="0.2">
      <c r="C259">
        <v>14</v>
      </c>
      <c r="D259">
        <v>42</v>
      </c>
      <c r="E259" s="68">
        <v>16.337105347766631</v>
      </c>
      <c r="F259" s="68">
        <v>2.0991169417593096</v>
      </c>
      <c r="G259" s="68">
        <v>5.5429394069247895</v>
      </c>
      <c r="H259" s="68">
        <v>4.7018273315455055</v>
      </c>
      <c r="I259" s="62">
        <v>0.95</v>
      </c>
      <c r="J259" s="68">
        <v>4.4667359649682297</v>
      </c>
      <c r="K259" s="68">
        <v>37.795623297925104</v>
      </c>
    </row>
    <row r="260" spans="3:11" x14ac:dyDescent="0.2">
      <c r="C260">
        <v>15</v>
      </c>
      <c r="D260">
        <v>43</v>
      </c>
      <c r="E260" s="68">
        <v>14.398696897354714</v>
      </c>
      <c r="F260" s="68">
        <v>2.0991169417593096</v>
      </c>
      <c r="G260" s="68">
        <v>4.6907856850605203</v>
      </c>
      <c r="H260" s="68">
        <v>4.5521891956821268</v>
      </c>
      <c r="I260" s="62">
        <v>0.95</v>
      </c>
      <c r="J260" s="68">
        <v>4.3245797358980198</v>
      </c>
      <c r="K260" s="68">
        <v>35.098610925721943</v>
      </c>
    </row>
    <row r="261" spans="3:11" x14ac:dyDescent="0.2">
      <c r="C261">
        <v>16</v>
      </c>
      <c r="D261">
        <v>44</v>
      </c>
      <c r="E261" s="68">
        <v>12.222926329786004</v>
      </c>
      <c r="F261" s="68">
        <v>2.0991169417593096</v>
      </c>
      <c r="G261" s="68">
        <v>3.8115718051780076</v>
      </c>
      <c r="H261" s="68">
        <v>4.2219913788047343</v>
      </c>
      <c r="I261" s="62">
        <v>0.95</v>
      </c>
      <c r="J261" s="68">
        <v>4.0108918098644972</v>
      </c>
      <c r="K261" s="68">
        <v>31.194163795081099</v>
      </c>
    </row>
    <row r="262" spans="3:11" x14ac:dyDescent="0.2">
      <c r="C262">
        <v>17</v>
      </c>
      <c r="D262">
        <v>45</v>
      </c>
      <c r="E262" s="68">
        <v>9.7535482819590502</v>
      </c>
      <c r="F262" s="68">
        <v>2.0991169417593096</v>
      </c>
      <c r="G262" s="68">
        <v>2.9042366932227357</v>
      </c>
      <c r="H262" s="68">
        <v>3.6572158363361709</v>
      </c>
      <c r="I262" s="62">
        <v>0.95</v>
      </c>
      <c r="J262" s="68">
        <v>3.4743550445193621</v>
      </c>
      <c r="K262" s="68">
        <v>25.931862163279177</v>
      </c>
    </row>
    <row r="263" spans="3:11" x14ac:dyDescent="0.2">
      <c r="C263">
        <v>18</v>
      </c>
      <c r="D263">
        <v>46</v>
      </c>
      <c r="E263" s="68">
        <v>6.9318931473278322</v>
      </c>
      <c r="F263" s="68">
        <v>2.0991169417593096</v>
      </c>
      <c r="G263" s="68">
        <v>1.967533980582524</v>
      </c>
      <c r="H263" s="68">
        <v>2.8018092351999231</v>
      </c>
      <c r="I263" s="62">
        <v>0.95</v>
      </c>
      <c r="J263" s="68">
        <v>2.6617187734399268</v>
      </c>
      <c r="K263" s="68">
        <v>19.118135115401326</v>
      </c>
    </row>
    <row r="264" spans="3:11" x14ac:dyDescent="0.2">
      <c r="C264">
        <v>19</v>
      </c>
      <c r="D264">
        <v>47</v>
      </c>
      <c r="E264" s="68">
        <v>3.7126213592233972</v>
      </c>
      <c r="F264" s="68">
        <v>2.0991169417593096</v>
      </c>
      <c r="G264" s="68">
        <v>0.99999999999999922</v>
      </c>
      <c r="H264" s="68">
        <v>1.6135044174640893</v>
      </c>
      <c r="I264" s="62">
        <v>0.95</v>
      </c>
      <c r="J264" s="68">
        <v>1.5328291965908849</v>
      </c>
      <c r="K264" s="68">
        <v>10.599247946142317</v>
      </c>
    </row>
    <row r="265" spans="3:11" x14ac:dyDescent="0.2">
      <c r="C265">
        <v>20</v>
      </c>
      <c r="D265">
        <v>48</v>
      </c>
      <c r="E265" s="68">
        <v>0</v>
      </c>
      <c r="F265" s="68">
        <v>2.0991169417593096</v>
      </c>
      <c r="G265" s="68">
        <v>0</v>
      </c>
      <c r="H265" s="68">
        <v>0</v>
      </c>
      <c r="I265" s="62">
        <v>0.95</v>
      </c>
      <c r="J265" s="68">
        <v>0</v>
      </c>
      <c r="K265" s="68"/>
    </row>
    <row r="266" spans="3:11" x14ac:dyDescent="0.2">
      <c r="E266" s="68"/>
      <c r="F266" s="68"/>
      <c r="G266" s="68"/>
      <c r="H266" s="68"/>
      <c r="I266" s="62"/>
      <c r="J266" s="68"/>
      <c r="K266" s="68"/>
    </row>
    <row r="267" spans="3:11" x14ac:dyDescent="0.2">
      <c r="E267" s="68"/>
      <c r="F267" s="68"/>
      <c r="G267" s="68"/>
      <c r="H267" s="68"/>
      <c r="I267" s="62"/>
      <c r="J267" s="68"/>
      <c r="K267" s="68"/>
    </row>
    <row r="268" spans="3:11" x14ac:dyDescent="0.2">
      <c r="C268">
        <v>1</v>
      </c>
      <c r="D268">
        <v>30</v>
      </c>
      <c r="E268" s="68">
        <v>32.445686042618746</v>
      </c>
      <c r="F268" s="68">
        <v>2.202142596331373</v>
      </c>
      <c r="G268" s="68">
        <v>14.517054584460235</v>
      </c>
      <c r="H268" s="68">
        <v>0</v>
      </c>
      <c r="I268" s="62">
        <v>0</v>
      </c>
      <c r="J268" s="68">
        <v>0</v>
      </c>
      <c r="K268" s="68">
        <v>0</v>
      </c>
    </row>
    <row r="269" spans="3:11" x14ac:dyDescent="0.2">
      <c r="C269">
        <v>2</v>
      </c>
      <c r="D269">
        <v>31</v>
      </c>
      <c r="E269" s="68">
        <v>31.606223474241094</v>
      </c>
      <c r="F269" s="68">
        <v>2.202142596331373</v>
      </c>
      <c r="G269" s="68">
        <v>13.948678147486135</v>
      </c>
      <c r="H269" s="68">
        <v>0.88924516314529356</v>
      </c>
      <c r="I269" s="62">
        <v>0.95</v>
      </c>
      <c r="J269" s="68">
        <v>0.84478290498802888</v>
      </c>
      <c r="K269" s="68">
        <v>9.9298429910209283</v>
      </c>
    </row>
    <row r="270" spans="3:11" x14ac:dyDescent="0.2">
      <c r="C270">
        <v>3</v>
      </c>
      <c r="D270">
        <v>32</v>
      </c>
      <c r="E270" s="68">
        <v>30.73995537493019</v>
      </c>
      <c r="F270" s="68">
        <v>2.202142596331373</v>
      </c>
      <c r="G270" s="68">
        <v>13.362152441280795</v>
      </c>
      <c r="H270" s="68">
        <v>1.3145903053125068</v>
      </c>
      <c r="I270" s="62">
        <v>0.95</v>
      </c>
      <c r="J270" s="68">
        <v>1.2488607900468813</v>
      </c>
      <c r="K270" s="68">
        <v>14.323483198571017</v>
      </c>
    </row>
    <row r="271" spans="3:11" x14ac:dyDescent="0.2">
      <c r="C271">
        <v>4</v>
      </c>
      <c r="D271">
        <v>33</v>
      </c>
      <c r="E271" s="68">
        <v>29.877127951609069</v>
      </c>
      <c r="F271" s="68">
        <v>2.202142596331373</v>
      </c>
      <c r="G271" s="68">
        <v>12.756488954194934</v>
      </c>
      <c r="H271" s="68">
        <v>1.7855202459457544</v>
      </c>
      <c r="I271" s="62">
        <v>0.95</v>
      </c>
      <c r="J271" s="68">
        <v>1.6962442336484667</v>
      </c>
      <c r="K271" s="68">
        <v>18.938715738412292</v>
      </c>
    </row>
    <row r="272" spans="3:11" x14ac:dyDescent="0.2">
      <c r="C272">
        <v>5</v>
      </c>
      <c r="D272">
        <v>34</v>
      </c>
      <c r="E272" s="68">
        <v>29.002342062078529</v>
      </c>
      <c r="F272" s="68">
        <v>2.202142596331373</v>
      </c>
      <c r="G272" s="68">
        <v>12.131311134329799</v>
      </c>
      <c r="H272" s="68">
        <v>2.2874650638218128</v>
      </c>
      <c r="I272" s="62">
        <v>0.95</v>
      </c>
      <c r="J272" s="68">
        <v>2.173091810630722</v>
      </c>
      <c r="K272" s="68">
        <v>23.575564310418745</v>
      </c>
    </row>
    <row r="273" spans="3:11" x14ac:dyDescent="0.2">
      <c r="C273">
        <v>6</v>
      </c>
      <c r="D273">
        <v>35</v>
      </c>
      <c r="E273" s="68">
        <v>28.115244686333824</v>
      </c>
      <c r="F273" s="68">
        <v>2.202142596331373</v>
      </c>
      <c r="G273" s="68">
        <v>11.486017187434568</v>
      </c>
      <c r="H273" s="68">
        <v>2.8213969756898898</v>
      </c>
      <c r="I273" s="62">
        <v>0.95</v>
      </c>
      <c r="J273" s="68">
        <v>2.6803271269053952</v>
      </c>
      <c r="K273" s="68">
        <v>28.204384887029995</v>
      </c>
    </row>
    <row r="274" spans="3:11" x14ac:dyDescent="0.2">
      <c r="C274">
        <v>7</v>
      </c>
      <c r="D274">
        <v>36</v>
      </c>
      <c r="E274" s="68">
        <v>27.1998794088951</v>
      </c>
      <c r="F274" s="68">
        <v>2.202142596331373</v>
      </c>
      <c r="G274" s="68">
        <v>10.820160553338042</v>
      </c>
      <c r="H274" s="68">
        <v>3.3723429552449602</v>
      </c>
      <c r="I274" s="62">
        <v>0.95</v>
      </c>
      <c r="J274" s="68">
        <v>3.2037258074827122</v>
      </c>
      <c r="K274" s="68">
        <v>32.627257875786007</v>
      </c>
    </row>
    <row r="275" spans="3:11" x14ac:dyDescent="0.2">
      <c r="C275">
        <v>8</v>
      </c>
      <c r="D275">
        <v>37</v>
      </c>
      <c r="E275" s="68">
        <v>26.224128187026057</v>
      </c>
      <c r="F275" s="68">
        <v>2.202142596331373</v>
      </c>
      <c r="G275" s="68">
        <v>10.133410845894627</v>
      </c>
      <c r="H275" s="68">
        <v>3.9089125171551693</v>
      </c>
      <c r="I275" s="62">
        <v>0.95</v>
      </c>
      <c r="J275" s="68">
        <v>3.7134668912974105</v>
      </c>
      <c r="K275" s="68">
        <v>36.566804697093765</v>
      </c>
    </row>
    <row r="276" spans="3:11" x14ac:dyDescent="0.2">
      <c r="C276">
        <v>9</v>
      </c>
      <c r="D276">
        <v>38</v>
      </c>
      <c r="E276" s="68">
        <v>25.170373698179009</v>
      </c>
      <c r="F276" s="68">
        <v>2.202142596331373</v>
      </c>
      <c r="G276" s="68">
        <v>9.4252079639073241</v>
      </c>
      <c r="H276" s="68">
        <v>4.4147217615770025</v>
      </c>
      <c r="I276" s="62">
        <v>0.95</v>
      </c>
      <c r="J276" s="68">
        <v>4.193985673498152</v>
      </c>
      <c r="K276" s="68">
        <v>39.858119308207073</v>
      </c>
    </row>
    <row r="277" spans="3:11" x14ac:dyDescent="0.2">
      <c r="C277">
        <v>10</v>
      </c>
      <c r="D277">
        <v>39</v>
      </c>
      <c r="E277" s="68">
        <v>24.036018641213754</v>
      </c>
      <c r="F277" s="68">
        <v>2.202142596331373</v>
      </c>
      <c r="G277" s="68">
        <v>8.6947973304563071</v>
      </c>
      <c r="H277" s="68">
        <v>4.8888350733476109</v>
      </c>
      <c r="I277" s="62">
        <v>0.95</v>
      </c>
      <c r="J277" s="68">
        <v>4.6443933196802298</v>
      </c>
      <c r="K277" s="68">
        <v>42.57189829052129</v>
      </c>
    </row>
    <row r="278" spans="3:11" x14ac:dyDescent="0.2">
      <c r="C278">
        <v>11</v>
      </c>
      <c r="D278">
        <v>40</v>
      </c>
      <c r="E278" s="68">
        <v>22.755702879948291</v>
      </c>
      <c r="F278" s="68">
        <v>2.202142596331373</v>
      </c>
      <c r="G278" s="68">
        <v>7.9419062744200115</v>
      </c>
      <c r="H278" s="68">
        <v>5.2664927769765839</v>
      </c>
      <c r="I278" s="62">
        <v>0.95</v>
      </c>
      <c r="J278" s="68">
        <v>5.0031681381277542</v>
      </c>
      <c r="K278" s="68">
        <v>44.178761556631194</v>
      </c>
    </row>
    <row r="279" spans="3:11" x14ac:dyDescent="0.2">
      <c r="C279">
        <v>12</v>
      </c>
      <c r="D279">
        <v>41</v>
      </c>
      <c r="E279" s="68">
        <v>21.340127199061495</v>
      </c>
      <c r="F279" s="68">
        <v>2.202142596331373</v>
      </c>
      <c r="G279" s="68">
        <v>7.1655263511494667</v>
      </c>
      <c r="H279" s="68">
        <v>5.5606163960603396</v>
      </c>
      <c r="I279" s="62">
        <v>0.95</v>
      </c>
      <c r="J279" s="68">
        <v>5.2825855762573228</v>
      </c>
      <c r="K279" s="68">
        <v>44.867297219234175</v>
      </c>
    </row>
    <row r="280" spans="3:11" x14ac:dyDescent="0.2">
      <c r="C280">
        <v>13</v>
      </c>
      <c r="D280">
        <v>42</v>
      </c>
      <c r="E280" s="68">
        <v>19.721769973051234</v>
      </c>
      <c r="F280" s="68">
        <v>2.202142596331373</v>
      </c>
      <c r="G280" s="68">
        <v>6.3651574644821247</v>
      </c>
      <c r="H280" s="68">
        <v>5.7047855881585487</v>
      </c>
      <c r="I280" s="62">
        <v>0.95</v>
      </c>
      <c r="J280" s="68">
        <v>5.419546308750621</v>
      </c>
      <c r="K280" s="68">
        <v>44.23315130982273</v>
      </c>
    </row>
    <row r="281" spans="3:11" x14ac:dyDescent="0.2">
      <c r="C281">
        <v>14</v>
      </c>
      <c r="D281">
        <v>43</v>
      </c>
      <c r="E281" s="68">
        <v>17.893512687504789</v>
      </c>
      <c r="F281" s="68">
        <v>2.202142596331373</v>
      </c>
      <c r="G281" s="68">
        <v>5.5397621623847026</v>
      </c>
      <c r="H281" s="68">
        <v>5.6941664561726384</v>
      </c>
      <c r="I281" s="62">
        <v>0.95</v>
      </c>
      <c r="J281" s="68">
        <v>5.4094581333640059</v>
      </c>
      <c r="K281" s="68">
        <v>42.411975778531691</v>
      </c>
    </row>
    <row r="282" spans="3:11" x14ac:dyDescent="0.2">
      <c r="C282">
        <v>15</v>
      </c>
      <c r="D282">
        <v>44</v>
      </c>
      <c r="E282" s="68">
        <v>15.832114851337474</v>
      </c>
      <c r="F282" s="68">
        <v>2.202142596331373</v>
      </c>
      <c r="G282" s="68">
        <v>4.6883322243284722</v>
      </c>
      <c r="H282" s="68">
        <v>5.507738754390731</v>
      </c>
      <c r="I282" s="62">
        <v>0.95</v>
      </c>
      <c r="J282" s="68">
        <v>5.2323518166711942</v>
      </c>
      <c r="K282" s="68">
        <v>39.395909643973106</v>
      </c>
    </row>
    <row r="283" spans="3:11" x14ac:dyDescent="0.2">
      <c r="C283">
        <v>16</v>
      </c>
      <c r="D283">
        <v>45</v>
      </c>
      <c r="E283" s="68">
        <v>13.481689856626915</v>
      </c>
      <c r="F283" s="68">
        <v>2.202142596331373</v>
      </c>
      <c r="G283" s="68">
        <v>3.8098937266915689</v>
      </c>
      <c r="H283" s="68">
        <v>5.0917605935837322</v>
      </c>
      <c r="I283" s="62">
        <v>0.95</v>
      </c>
      <c r="J283" s="68">
        <v>4.8371725639045451</v>
      </c>
      <c r="K283" s="68">
        <v>35.043164628923293</v>
      </c>
    </row>
    <row r="284" spans="3:11" x14ac:dyDescent="0.2">
      <c r="C284">
        <v>17</v>
      </c>
      <c r="D284">
        <v>46</v>
      </c>
      <c r="E284" s="68">
        <v>10.783959047899929</v>
      </c>
      <c r="F284" s="68">
        <v>2.202142596331373</v>
      </c>
      <c r="G284" s="68">
        <v>2.9032952724667713</v>
      </c>
      <c r="H284" s="68">
        <v>4.3904888586733524</v>
      </c>
      <c r="I284" s="62">
        <v>0.95</v>
      </c>
      <c r="J284" s="68">
        <v>4.1709644157396841</v>
      </c>
      <c r="K284" s="68">
        <v>29.169587692305768</v>
      </c>
    </row>
    <row r="285" spans="3:11" x14ac:dyDescent="0.2">
      <c r="C285">
        <v>18</v>
      </c>
      <c r="D285">
        <v>47</v>
      </c>
      <c r="E285" s="68">
        <v>7.6939449901028798</v>
      </c>
      <c r="F285" s="68">
        <v>2.202142596331373</v>
      </c>
      <c r="G285" s="68">
        <v>1.967161165048541</v>
      </c>
      <c r="H285" s="68">
        <v>3.3619755947006373</v>
      </c>
      <c r="I285" s="62">
        <v>0.95</v>
      </c>
      <c r="J285" s="68">
        <v>3.1938768149656052</v>
      </c>
      <c r="K285" s="68">
        <v>21.627948418083385</v>
      </c>
    </row>
    <row r="286" spans="3:11" x14ac:dyDescent="0.2">
      <c r="C286">
        <v>19</v>
      </c>
      <c r="D286">
        <v>48</v>
      </c>
      <c r="E286" s="68">
        <v>4.1165048543689746</v>
      </c>
      <c r="F286" s="68">
        <v>2.202142596331373</v>
      </c>
      <c r="G286" s="68">
        <v>0.99999999999999811</v>
      </c>
      <c r="H286" s="68">
        <v>1.9143622580376056</v>
      </c>
      <c r="I286" s="62">
        <v>0.95</v>
      </c>
      <c r="J286" s="68">
        <v>1.8186441451357254</v>
      </c>
      <c r="K286" s="68">
        <v>12.058757574953946</v>
      </c>
    </row>
    <row r="287" spans="3:11" x14ac:dyDescent="0.2">
      <c r="C287">
        <v>20</v>
      </c>
      <c r="D287">
        <v>49</v>
      </c>
      <c r="E287" s="68">
        <v>0</v>
      </c>
      <c r="F287" s="68">
        <v>2.202142596331373</v>
      </c>
      <c r="G287" s="68">
        <v>0</v>
      </c>
      <c r="H287" s="68">
        <v>0</v>
      </c>
      <c r="I287" s="62">
        <v>0.95</v>
      </c>
      <c r="J287" s="68">
        <v>0</v>
      </c>
      <c r="K287" s="68"/>
    </row>
    <row r="288" spans="3:11" x14ac:dyDescent="0.2">
      <c r="E288" s="68"/>
      <c r="F288" s="68"/>
      <c r="G288" s="68"/>
      <c r="H288" s="68"/>
      <c r="I288" s="62"/>
      <c r="J288" s="68"/>
      <c r="K288" s="68"/>
    </row>
    <row r="289" spans="3:11" x14ac:dyDescent="0.2">
      <c r="C289">
        <v>1</v>
      </c>
      <c r="D289">
        <v>31</v>
      </c>
      <c r="E289" s="68">
        <v>34.138499408487348</v>
      </c>
      <c r="F289" s="68">
        <v>2.317096600155081</v>
      </c>
      <c r="G289" s="68">
        <v>14.5107997449589</v>
      </c>
      <c r="H289" s="68">
        <v>0</v>
      </c>
      <c r="I289" s="62">
        <v>0</v>
      </c>
      <c r="J289" s="68">
        <v>0</v>
      </c>
      <c r="K289" s="68">
        <v>0</v>
      </c>
    </row>
    <row r="290" spans="3:11" x14ac:dyDescent="0.2">
      <c r="C290">
        <v>2</v>
      </c>
      <c r="D290">
        <v>32</v>
      </c>
      <c r="E290" s="68">
        <v>33.353091377801213</v>
      </c>
      <c r="F290" s="68">
        <v>2.317096600155081</v>
      </c>
      <c r="G290" s="68">
        <v>13.942223579849143</v>
      </c>
      <c r="H290" s="68">
        <v>1.0476125223307591</v>
      </c>
      <c r="I290" s="62">
        <v>0.95</v>
      </c>
      <c r="J290" s="68">
        <v>0.99523189621422103</v>
      </c>
      <c r="K290" s="68">
        <v>11.014976613177272</v>
      </c>
    </row>
    <row r="291" spans="3:11" x14ac:dyDescent="0.2">
      <c r="C291">
        <v>3</v>
      </c>
      <c r="D291">
        <v>33</v>
      </c>
      <c r="E291" s="68">
        <v>32.573619579160919</v>
      </c>
      <c r="F291" s="68">
        <v>2.317096600155081</v>
      </c>
      <c r="G291" s="68">
        <v>13.355063604276484</v>
      </c>
      <c r="H291" s="68">
        <v>1.6286471068370147</v>
      </c>
      <c r="I291" s="62">
        <v>0.95</v>
      </c>
      <c r="J291" s="68">
        <v>1.547214751495164</v>
      </c>
      <c r="K291" s="68">
        <v>16.663677566061988</v>
      </c>
    </row>
    <row r="292" spans="3:11" x14ac:dyDescent="0.2">
      <c r="C292">
        <v>4</v>
      </c>
      <c r="D292">
        <v>34</v>
      </c>
      <c r="E292" s="68">
        <v>31.784803648390362</v>
      </c>
      <c r="F292" s="68">
        <v>2.317096600155081</v>
      </c>
      <c r="G292" s="68">
        <v>12.748969633015397</v>
      </c>
      <c r="H292" s="68">
        <v>2.2442094562500152</v>
      </c>
      <c r="I292" s="62">
        <v>0.95</v>
      </c>
      <c r="J292" s="68">
        <v>2.1319989834375144</v>
      </c>
      <c r="K292" s="68">
        <v>22.305630551152753</v>
      </c>
    </row>
    <row r="293" spans="3:11" x14ac:dyDescent="0.2">
      <c r="C293">
        <v>5</v>
      </c>
      <c r="D293">
        <v>35</v>
      </c>
      <c r="E293" s="68">
        <v>30.986371116821335</v>
      </c>
      <c r="F293" s="68">
        <v>2.317096600155081</v>
      </c>
      <c r="G293" s="68">
        <v>12.123357752822956</v>
      </c>
      <c r="H293" s="68">
        <v>2.8953800852915208</v>
      </c>
      <c r="I293" s="62">
        <v>0.95</v>
      </c>
      <c r="J293" s="68">
        <v>2.7506110810269448</v>
      </c>
      <c r="K293" s="68">
        <v>27.908910535334371</v>
      </c>
    </row>
    <row r="294" spans="3:11" x14ac:dyDescent="0.2">
      <c r="C294">
        <v>6</v>
      </c>
      <c r="D294">
        <v>36</v>
      </c>
      <c r="E294" s="68">
        <v>30.162496043172013</v>
      </c>
      <c r="F294" s="68">
        <v>2.317096600155081</v>
      </c>
      <c r="G294" s="68">
        <v>11.477810366550369</v>
      </c>
      <c r="H294" s="68">
        <v>3.5673006656134092</v>
      </c>
      <c r="I294" s="62">
        <v>0.95</v>
      </c>
      <c r="J294" s="68">
        <v>3.3889356323327386</v>
      </c>
      <c r="K294" s="68">
        <v>33.28092177296498</v>
      </c>
    </row>
    <row r="295" spans="3:11" x14ac:dyDescent="0.2">
      <c r="C295">
        <v>7</v>
      </c>
      <c r="D295">
        <v>37</v>
      </c>
      <c r="E295" s="68">
        <v>29.281248421562818</v>
      </c>
      <c r="F295" s="68">
        <v>2.317096600155081</v>
      </c>
      <c r="G295" s="68">
        <v>10.812038828992224</v>
      </c>
      <c r="H295" s="68">
        <v>4.2287100101602135</v>
      </c>
      <c r="I295" s="62">
        <v>0.95</v>
      </c>
      <c r="J295" s="68">
        <v>4.0172745096522027</v>
      </c>
      <c r="K295" s="68">
        <v>38.150961277086239</v>
      </c>
    </row>
    <row r="296" spans="3:11" x14ac:dyDescent="0.2">
      <c r="C296">
        <v>8</v>
      </c>
      <c r="D296">
        <v>38</v>
      </c>
      <c r="E296" s="68">
        <v>28.325163783432835</v>
      </c>
      <c r="F296" s="68">
        <v>2.317096600155081</v>
      </c>
      <c r="G296" s="68">
        <v>10.125516969901165</v>
      </c>
      <c r="H296" s="68">
        <v>4.8633628376622688</v>
      </c>
      <c r="I296" s="62">
        <v>0.95</v>
      </c>
      <c r="J296" s="68">
        <v>4.6201946957791549</v>
      </c>
      <c r="K296" s="68">
        <v>42.360657810945398</v>
      </c>
    </row>
    <row r="297" spans="3:11" x14ac:dyDescent="0.2">
      <c r="C297">
        <v>9</v>
      </c>
      <c r="D297">
        <v>39</v>
      </c>
      <c r="E297" s="68">
        <v>27.291755535652829</v>
      </c>
      <c r="F297" s="68">
        <v>2.317096600155081</v>
      </c>
      <c r="G297" s="68">
        <v>9.4175147876270469</v>
      </c>
      <c r="H297" s="68">
        <v>5.4704640393320005</v>
      </c>
      <c r="I297" s="62">
        <v>0.95</v>
      </c>
      <c r="J297" s="68">
        <v>5.1969408373654007</v>
      </c>
      <c r="K297" s="68">
        <v>45.977212624256453</v>
      </c>
    </row>
    <row r="298" spans="3:11" x14ac:dyDescent="0.2">
      <c r="C298">
        <v>10</v>
      </c>
      <c r="D298">
        <v>40</v>
      </c>
      <c r="E298" s="68">
        <v>26.115993756936611</v>
      </c>
      <c r="F298" s="68">
        <v>2.317096600155081</v>
      </c>
      <c r="G298" s="68">
        <v>8.6878329130618113</v>
      </c>
      <c r="H298" s="68">
        <v>5.9854456513656729</v>
      </c>
      <c r="I298" s="62">
        <v>0.95</v>
      </c>
      <c r="J298" s="68">
        <v>5.6861733687973892</v>
      </c>
      <c r="K298" s="68">
        <v>48.491006469562095</v>
      </c>
    </row>
    <row r="299" spans="3:11" x14ac:dyDescent="0.2">
      <c r="C299">
        <v>11</v>
      </c>
      <c r="D299">
        <v>41</v>
      </c>
      <c r="E299" s="68">
        <v>24.808663343853897</v>
      </c>
      <c r="F299" s="68">
        <v>2.317096600155081</v>
      </c>
      <c r="G299" s="68">
        <v>7.9354815729460526</v>
      </c>
      <c r="H299" s="68">
        <v>6.4213859705873055</v>
      </c>
      <c r="I299" s="62">
        <v>0.95</v>
      </c>
      <c r="J299" s="68">
        <v>6.1003166720579403</v>
      </c>
      <c r="K299" s="68">
        <v>50.084477972348395</v>
      </c>
    </row>
    <row r="300" spans="3:11" x14ac:dyDescent="0.2">
      <c r="C300">
        <v>12</v>
      </c>
      <c r="D300">
        <v>42</v>
      </c>
      <c r="E300" s="68">
        <v>23.302612463284909</v>
      </c>
      <c r="F300" s="68">
        <v>2.317096600155081</v>
      </c>
      <c r="G300" s="68">
        <v>7.1600427586503717</v>
      </c>
      <c r="H300" s="68">
        <v>6.7121017302511241</v>
      </c>
      <c r="I300" s="62">
        <v>0.95</v>
      </c>
      <c r="J300" s="68">
        <v>6.3764966437385677</v>
      </c>
      <c r="K300" s="68">
        <v>50.367851422095981</v>
      </c>
    </row>
    <row r="301" spans="3:11" x14ac:dyDescent="0.2">
      <c r="C301">
        <v>13</v>
      </c>
      <c r="D301">
        <v>43</v>
      </c>
      <c r="E301" s="68">
        <v>21.590890792095188</v>
      </c>
      <c r="F301" s="68">
        <v>2.317096600155081</v>
      </c>
      <c r="G301" s="68">
        <v>6.3605163537054112</v>
      </c>
      <c r="H301" s="68">
        <v>6.8529599736935864</v>
      </c>
      <c r="I301" s="62">
        <v>0.95</v>
      </c>
      <c r="J301" s="68">
        <v>6.5103119750089071</v>
      </c>
      <c r="K301" s="68">
        <v>49.473246888367648</v>
      </c>
    </row>
    <row r="302" spans="3:11" x14ac:dyDescent="0.2">
      <c r="C302">
        <v>14</v>
      </c>
      <c r="D302">
        <v>44</v>
      </c>
      <c r="E302" s="68">
        <v>19.65049482218863</v>
      </c>
      <c r="F302" s="68">
        <v>2.317096600155081</v>
      </c>
      <c r="G302" s="68">
        <v>5.5359467437199958</v>
      </c>
      <c r="H302" s="68">
        <v>6.8231714436754363</v>
      </c>
      <c r="I302" s="62">
        <v>0.95</v>
      </c>
      <c r="J302" s="68">
        <v>6.4820128714916638</v>
      </c>
      <c r="K302" s="68">
        <v>47.39494967414295</v>
      </c>
    </row>
    <row r="303" spans="3:11" x14ac:dyDescent="0.2">
      <c r="C303">
        <v>15</v>
      </c>
      <c r="D303">
        <v>45</v>
      </c>
      <c r="E303" s="68">
        <v>17.425917494558643</v>
      </c>
      <c r="F303" s="68">
        <v>2.317096600155081</v>
      </c>
      <c r="G303" s="68">
        <v>4.6854442583876157</v>
      </c>
      <c r="H303" s="68">
        <v>6.5692905332325537</v>
      </c>
      <c r="I303" s="62">
        <v>0.95</v>
      </c>
      <c r="J303" s="68">
        <v>6.2408260065709253</v>
      </c>
      <c r="K303" s="68">
        <v>43.999151416118302</v>
      </c>
    </row>
    <row r="304" spans="3:11" x14ac:dyDescent="0.2">
      <c r="C304">
        <v>16</v>
      </c>
      <c r="D304">
        <v>46</v>
      </c>
      <c r="E304" s="68">
        <v>14.859293764641308</v>
      </c>
      <c r="F304" s="68">
        <v>2.317096600155081</v>
      </c>
      <c r="G304" s="68">
        <v>3.8079493151916854</v>
      </c>
      <c r="H304" s="68">
        <v>6.0359073528477847</v>
      </c>
      <c r="I304" s="62">
        <v>0.95</v>
      </c>
      <c r="J304" s="68">
        <v>5.734111985205395</v>
      </c>
      <c r="K304" s="68">
        <v>39.11065989044365</v>
      </c>
    </row>
    <row r="305" spans="3:11" x14ac:dyDescent="0.2">
      <c r="C305">
        <v>17</v>
      </c>
      <c r="D305">
        <v>47</v>
      </c>
      <c r="E305" s="68">
        <v>11.906029318435968</v>
      </c>
      <c r="F305" s="68">
        <v>2.317096600155081</v>
      </c>
      <c r="G305" s="68">
        <v>2.9021712637948891</v>
      </c>
      <c r="H305" s="68">
        <v>5.1814181500290557</v>
      </c>
      <c r="I305" s="62">
        <v>0.95</v>
      </c>
      <c r="J305" s="68">
        <v>4.9223472425276027</v>
      </c>
      <c r="K305" s="68">
        <v>32.588867126904006</v>
      </c>
    </row>
    <row r="306" spans="3:11" x14ac:dyDescent="0.2">
      <c r="C306">
        <v>18</v>
      </c>
      <c r="D306">
        <v>48</v>
      </c>
      <c r="E306" s="68">
        <v>8.4716056178716883</v>
      </c>
      <c r="F306" s="68">
        <v>2.317096600155081</v>
      </c>
      <c r="G306" s="68">
        <v>1.9667572815533974</v>
      </c>
      <c r="H306" s="68">
        <v>3.914439007454062</v>
      </c>
      <c r="I306" s="62">
        <v>0.95</v>
      </c>
      <c r="J306" s="68">
        <v>3.7187170570813586</v>
      </c>
      <c r="K306" s="68">
        <v>24.086514757075534</v>
      </c>
    </row>
    <row r="307" spans="3:11" x14ac:dyDescent="0.2">
      <c r="C307">
        <v>19</v>
      </c>
      <c r="D307">
        <v>49</v>
      </c>
      <c r="E307" s="68">
        <v>4.5048543689320661</v>
      </c>
      <c r="F307" s="68">
        <v>2.317096600155081</v>
      </c>
      <c r="G307" s="68">
        <v>1.0000000000000009</v>
      </c>
      <c r="H307" s="68">
        <v>2.1877577687769829</v>
      </c>
      <c r="I307" s="62">
        <v>0.95</v>
      </c>
      <c r="J307" s="68">
        <v>2.0783698803381339</v>
      </c>
      <c r="K307" s="68">
        <v>13.149232169071199</v>
      </c>
    </row>
    <row r="308" spans="3:11" x14ac:dyDescent="0.2">
      <c r="C308">
        <v>20</v>
      </c>
      <c r="D308">
        <v>50</v>
      </c>
      <c r="E308" s="68">
        <v>0</v>
      </c>
      <c r="F308" s="68">
        <v>2.317096600155081</v>
      </c>
      <c r="G308" s="68">
        <v>0</v>
      </c>
      <c r="H308" s="68">
        <v>0</v>
      </c>
      <c r="I308" s="62">
        <v>0.95</v>
      </c>
      <c r="J308" s="68">
        <v>0</v>
      </c>
      <c r="K308" s="68"/>
    </row>
    <row r="309" spans="3:11" x14ac:dyDescent="0.2">
      <c r="E309" s="68"/>
      <c r="F309" s="68"/>
      <c r="G309" s="68"/>
      <c r="H309" s="68"/>
      <c r="I309" s="62"/>
      <c r="J309" s="68"/>
      <c r="K309" s="68"/>
    </row>
    <row r="310" spans="3:11" x14ac:dyDescent="0.2">
      <c r="E310" s="68"/>
      <c r="F310" s="68"/>
      <c r="G310" s="68"/>
      <c r="H310" s="68"/>
      <c r="I310" s="62"/>
      <c r="J310" s="68"/>
      <c r="K310" s="68"/>
    </row>
    <row r="311" spans="3:11" x14ac:dyDescent="0.2">
      <c r="C311">
        <v>1</v>
      </c>
      <c r="D311">
        <v>32</v>
      </c>
      <c r="E311" s="68">
        <v>36.11345462998144</v>
      </c>
      <c r="F311" s="68">
        <v>2.4454235592795452</v>
      </c>
      <c r="G311" s="68">
        <v>14.502786306533988</v>
      </c>
      <c r="H311" s="68">
        <v>0</v>
      </c>
      <c r="I311" s="62">
        <v>0</v>
      </c>
      <c r="J311" s="68">
        <v>0</v>
      </c>
      <c r="K311" s="68">
        <v>0</v>
      </c>
    </row>
    <row r="312" spans="3:11" x14ac:dyDescent="0.2">
      <c r="C312">
        <v>2</v>
      </c>
      <c r="D312">
        <v>33</v>
      </c>
      <c r="E312" s="68">
        <v>35.422034812936694</v>
      </c>
      <c r="F312" s="68">
        <v>2.4454235592795452</v>
      </c>
      <c r="G312" s="68">
        <v>13.933507549621307</v>
      </c>
      <c r="H312" s="68">
        <v>1.3487071876933427</v>
      </c>
      <c r="I312" s="62">
        <v>0.95</v>
      </c>
      <c r="J312" s="68">
        <v>1.2812718283086755</v>
      </c>
      <c r="K312" s="68">
        <v>13.323558748415728</v>
      </c>
    </row>
    <row r="313" spans="3:11" x14ac:dyDescent="0.2">
      <c r="C313">
        <v>3</v>
      </c>
      <c r="D313">
        <v>34</v>
      </c>
      <c r="E313" s="68">
        <v>34.724032492591242</v>
      </c>
      <c r="F313" s="68">
        <v>2.4454235592795452</v>
      </c>
      <c r="G313" s="68">
        <v>13.345855616754909</v>
      </c>
      <c r="H313" s="68">
        <v>2.0877627486355408</v>
      </c>
      <c r="I313" s="62">
        <v>0.95</v>
      </c>
      <c r="J313" s="68">
        <v>1.9833746112037636</v>
      </c>
      <c r="K313" s="68">
        <v>20.031586063456963</v>
      </c>
    </row>
    <row r="314" spans="3:11" x14ac:dyDescent="0.2">
      <c r="C314">
        <v>4</v>
      </c>
      <c r="D314">
        <v>35</v>
      </c>
      <c r="E314" s="68">
        <v>34.019260289973296</v>
      </c>
      <c r="F314" s="68">
        <v>2.4454235592795452</v>
      </c>
      <c r="G314" s="68">
        <v>12.73926387434236</v>
      </c>
      <c r="H314" s="68">
        <v>2.8663642837776742</v>
      </c>
      <c r="I314" s="62">
        <v>0.95</v>
      </c>
      <c r="J314" s="68">
        <v>2.7230460695887904</v>
      </c>
      <c r="K314" s="68">
        <v>26.670359534347455</v>
      </c>
    </row>
    <row r="315" spans="3:11" x14ac:dyDescent="0.2">
      <c r="C315">
        <v>5</v>
      </c>
      <c r="D315">
        <v>36</v>
      </c>
      <c r="E315" s="68">
        <v>33.292030089073521</v>
      </c>
      <c r="F315" s="68">
        <v>2.4454235592795452</v>
      </c>
      <c r="G315" s="68">
        <v>12.113342714199904</v>
      </c>
      <c r="H315" s="68">
        <v>3.6697764341418448</v>
      </c>
      <c r="I315" s="62">
        <v>0.95</v>
      </c>
      <c r="J315" s="68">
        <v>3.4862876124347526</v>
      </c>
      <c r="K315" s="68">
        <v>33.052602275186494</v>
      </c>
    </row>
    <row r="316" spans="3:11" x14ac:dyDescent="0.2">
      <c r="C316">
        <v>6</v>
      </c>
      <c r="D316">
        <v>37</v>
      </c>
      <c r="E316" s="68">
        <v>32.510610515093468</v>
      </c>
      <c r="F316" s="68">
        <v>2.4454235592795452</v>
      </c>
      <c r="G316" s="68">
        <v>11.467843828269915</v>
      </c>
      <c r="H316" s="68">
        <v>4.4668750433036877</v>
      </c>
      <c r="I316" s="62">
        <v>0.95</v>
      </c>
      <c r="J316" s="68">
        <v>4.2435312911385035</v>
      </c>
      <c r="K316" s="68">
        <v>38.913289972514214</v>
      </c>
    </row>
    <row r="317" spans="3:11" x14ac:dyDescent="0.2">
      <c r="C317">
        <v>7</v>
      </c>
      <c r="D317">
        <v>38</v>
      </c>
      <c r="E317" s="68">
        <v>31.657698565437833</v>
      </c>
      <c r="F317" s="68">
        <v>2.4454235592795452</v>
      </c>
      <c r="G317" s="68">
        <v>10.802273836120611</v>
      </c>
      <c r="H317" s="68">
        <v>5.2415636327994619</v>
      </c>
      <c r="I317" s="62">
        <v>0.95</v>
      </c>
      <c r="J317" s="68">
        <v>4.9794854511594888</v>
      </c>
      <c r="K317" s="68">
        <v>44.10070822637784</v>
      </c>
    </row>
    <row r="318" spans="3:11" x14ac:dyDescent="0.2">
      <c r="C318">
        <v>8</v>
      </c>
      <c r="D318">
        <v>39</v>
      </c>
      <c r="E318" s="68">
        <v>30.73092459241186</v>
      </c>
      <c r="F318" s="68">
        <v>2.4454235592795452</v>
      </c>
      <c r="G318" s="68">
        <v>10.115926484878955</v>
      </c>
      <c r="H318" s="68">
        <v>5.993199642348948</v>
      </c>
      <c r="I318" s="62">
        <v>0.95</v>
      </c>
      <c r="J318" s="68">
        <v>5.6935396602315</v>
      </c>
      <c r="K318" s="68">
        <v>48.678347488492939</v>
      </c>
    </row>
    <row r="319" spans="3:11" x14ac:dyDescent="0.2">
      <c r="C319">
        <v>9</v>
      </c>
      <c r="D319">
        <v>40</v>
      </c>
      <c r="E319" s="68">
        <v>29.665607494332598</v>
      </c>
      <c r="F319" s="68">
        <v>2.4454235592795452</v>
      </c>
      <c r="G319" s="68">
        <v>9.4086732422254045</v>
      </c>
      <c r="H319" s="68">
        <v>6.6574162862315305</v>
      </c>
      <c r="I319" s="62">
        <v>0.95</v>
      </c>
      <c r="J319" s="68">
        <v>6.3245454719199534</v>
      </c>
      <c r="K319" s="68">
        <v>52.155377501875407</v>
      </c>
    </row>
    <row r="320" spans="3:11" x14ac:dyDescent="0.2">
      <c r="C320">
        <v>10</v>
      </c>
      <c r="D320">
        <v>41</v>
      </c>
      <c r="E320" s="68">
        <v>28.47262101862648</v>
      </c>
      <c r="F320" s="68">
        <v>2.4454235592795452</v>
      </c>
      <c r="G320" s="68">
        <v>8.6795423783513428</v>
      </c>
      <c r="H320" s="68">
        <v>7.2474636028408916</v>
      </c>
      <c r="I320" s="62">
        <v>0.95</v>
      </c>
      <c r="J320" s="68">
        <v>6.8850904226988465</v>
      </c>
      <c r="K320" s="68">
        <v>54.708770243639783</v>
      </c>
    </row>
    <row r="321" spans="3:11" x14ac:dyDescent="0.2">
      <c r="C321">
        <v>11</v>
      </c>
      <c r="D321">
        <v>42</v>
      </c>
      <c r="E321" s="68">
        <v>27.085203959107041</v>
      </c>
      <c r="F321" s="68">
        <v>2.4454235592795452</v>
      </c>
      <c r="G321" s="68">
        <v>7.9281952114691139</v>
      </c>
      <c r="H321" s="68">
        <v>7.6974086064131946</v>
      </c>
      <c r="I321" s="62">
        <v>0.95</v>
      </c>
      <c r="J321" s="68">
        <v>7.3125381760925343</v>
      </c>
      <c r="K321" s="68">
        <v>55.962262787916863</v>
      </c>
    </row>
    <row r="322" spans="3:11" x14ac:dyDescent="0.2">
      <c r="C322">
        <v>12</v>
      </c>
      <c r="D322">
        <v>43</v>
      </c>
      <c r="E322" s="68">
        <v>25.496583660018548</v>
      </c>
      <c r="F322" s="68">
        <v>2.4454235592795452</v>
      </c>
      <c r="G322" s="68">
        <v>7.1536677050384005</v>
      </c>
      <c r="H322" s="68">
        <v>8.0028361188604045</v>
      </c>
      <c r="I322" s="62">
        <v>0.95</v>
      </c>
      <c r="J322" s="68">
        <v>7.6026943129173841</v>
      </c>
      <c r="K322" s="68">
        <v>56.044718141627833</v>
      </c>
    </row>
    <row r="323" spans="3:11" x14ac:dyDescent="0.2">
      <c r="C323">
        <v>13</v>
      </c>
      <c r="D323">
        <v>44</v>
      </c>
      <c r="E323" s="68">
        <v>23.68400694816226</v>
      </c>
      <c r="F323" s="68">
        <v>2.4454235592795452</v>
      </c>
      <c r="G323" s="68">
        <v>6.3550550816049904</v>
      </c>
      <c r="H323" s="68">
        <v>8.1432055310862239</v>
      </c>
      <c r="I323" s="62">
        <v>0.95</v>
      </c>
      <c r="J323" s="68">
        <v>7.7360452545319127</v>
      </c>
      <c r="K323" s="68">
        <v>54.952638819999926</v>
      </c>
    </row>
    <row r="324" spans="3:11" x14ac:dyDescent="0.2">
      <c r="C324">
        <v>14</v>
      </c>
      <c r="D324">
        <v>45</v>
      </c>
      <c r="E324" s="68">
        <v>21.592367697693259</v>
      </c>
      <c r="F324" s="68">
        <v>2.4454235592795452</v>
      </c>
      <c r="G324" s="68">
        <v>5.531549090648757</v>
      </c>
      <c r="H324" s="68">
        <v>8.065387232109444</v>
      </c>
      <c r="I324" s="62">
        <v>0.95</v>
      </c>
      <c r="J324" s="68">
        <v>7.6621178705039714</v>
      </c>
      <c r="K324" s="68">
        <v>52.559167661762508</v>
      </c>
    </row>
    <row r="325" spans="3:11" x14ac:dyDescent="0.2">
      <c r="C325">
        <v>15</v>
      </c>
      <c r="D325">
        <v>46</v>
      </c>
      <c r="E325" s="68">
        <v>19.164237778296787</v>
      </c>
      <c r="F325" s="68">
        <v>2.4454235592795452</v>
      </c>
      <c r="G325" s="68">
        <v>4.6821788763243726</v>
      </c>
      <c r="H325" s="68">
        <v>7.7143272453721377</v>
      </c>
      <c r="I325" s="62">
        <v>0.95</v>
      </c>
      <c r="J325" s="68">
        <v>7.3286108831035301</v>
      </c>
      <c r="K325" s="68">
        <v>48.697374490720769</v>
      </c>
    </row>
    <row r="326" spans="3:11" x14ac:dyDescent="0.2">
      <c r="C326">
        <v>16</v>
      </c>
      <c r="D326">
        <v>47</v>
      </c>
      <c r="E326" s="68">
        <v>16.355427582529593</v>
      </c>
      <c r="F326" s="68">
        <v>2.4454235592795452</v>
      </c>
      <c r="G326" s="68">
        <v>3.8057359743659211</v>
      </c>
      <c r="H326" s="68">
        <v>7.0487911704174735</v>
      </c>
      <c r="I326" s="62">
        <v>0.95</v>
      </c>
      <c r="J326" s="68">
        <v>6.6963516118965991</v>
      </c>
      <c r="K326" s="68">
        <v>43.232970868933037</v>
      </c>
    </row>
    <row r="327" spans="3:11" x14ac:dyDescent="0.2">
      <c r="C327">
        <v>17</v>
      </c>
      <c r="D327">
        <v>48</v>
      </c>
      <c r="E327" s="68">
        <v>13.07207803641664</v>
      </c>
      <c r="F327" s="68">
        <v>2.4454235592795452</v>
      </c>
      <c r="G327" s="68">
        <v>2.9010014832689204</v>
      </c>
      <c r="H327" s="68">
        <v>5.977900663725916</v>
      </c>
      <c r="I327" s="62">
        <v>0.95</v>
      </c>
      <c r="J327" s="68">
        <v>5.6790056305396197</v>
      </c>
      <c r="K327" s="68">
        <v>35.829635626360677</v>
      </c>
    </row>
    <row r="328" spans="3:11" x14ac:dyDescent="0.2">
      <c r="C328">
        <v>18</v>
      </c>
      <c r="D328">
        <v>49</v>
      </c>
      <c r="E328" s="68">
        <v>9.2635176925254008</v>
      </c>
      <c r="F328" s="68">
        <v>2.4454235592795452</v>
      </c>
      <c r="G328" s="68">
        <v>1.9663689320388344</v>
      </c>
      <c r="H328" s="68">
        <v>4.4549127798822763</v>
      </c>
      <c r="I328" s="62">
        <v>0.95</v>
      </c>
      <c r="J328" s="68">
        <v>4.232167140888162</v>
      </c>
      <c r="K328" s="68">
        <v>26.04513607506799</v>
      </c>
    </row>
    <row r="329" spans="3:11" x14ac:dyDescent="0.2">
      <c r="C329">
        <v>19</v>
      </c>
      <c r="D329">
        <v>50</v>
      </c>
      <c r="E329" s="68">
        <v>4.9242718446603586</v>
      </c>
      <c r="F329" s="68">
        <v>2.4454235592795452</v>
      </c>
      <c r="G329" s="68">
        <v>0.99999999999999833</v>
      </c>
      <c r="H329" s="68">
        <v>2.4788482853808174</v>
      </c>
      <c r="I329" s="62">
        <v>0.95</v>
      </c>
      <c r="J329" s="68">
        <v>2.3549058711117765</v>
      </c>
      <c r="K329" s="68">
        <v>14.098119989022839</v>
      </c>
    </row>
    <row r="330" spans="3:11" x14ac:dyDescent="0.2">
      <c r="C330">
        <v>20</v>
      </c>
      <c r="D330">
        <v>51</v>
      </c>
      <c r="E330" s="68">
        <v>0</v>
      </c>
      <c r="F330" s="68">
        <v>2.4454235592795452</v>
      </c>
      <c r="G330" s="68">
        <v>0</v>
      </c>
      <c r="H330" s="68">
        <v>0</v>
      </c>
      <c r="I330" s="62">
        <v>0.95</v>
      </c>
      <c r="J330" s="68">
        <v>0</v>
      </c>
      <c r="K330" s="68"/>
    </row>
    <row r="331" spans="3:11" x14ac:dyDescent="0.2">
      <c r="E331" s="68"/>
      <c r="F331" s="68"/>
      <c r="G331" s="68"/>
      <c r="H331" s="68"/>
      <c r="I331" s="62"/>
      <c r="J331" s="68"/>
      <c r="K331" s="68"/>
    </row>
    <row r="332" spans="3:11" x14ac:dyDescent="0.2">
      <c r="E332" s="68"/>
      <c r="F332" s="68"/>
      <c r="G332" s="68"/>
      <c r="H332" s="68"/>
      <c r="I332" s="62"/>
      <c r="J332" s="68"/>
      <c r="K332" s="68"/>
    </row>
    <row r="333" spans="3:11" x14ac:dyDescent="0.2">
      <c r="C333">
        <v>1</v>
      </c>
      <c r="D333">
        <v>33</v>
      </c>
      <c r="E333" s="68">
        <v>38.312333327161163</v>
      </c>
      <c r="F333" s="68">
        <v>2.5866611120318987</v>
      </c>
      <c r="G333" s="68">
        <v>14.49225519782911</v>
      </c>
      <c r="H333" s="68">
        <v>0</v>
      </c>
      <c r="I333" s="62">
        <v>0</v>
      </c>
      <c r="J333" s="68">
        <v>0</v>
      </c>
      <c r="K333" s="68">
        <v>0</v>
      </c>
    </row>
    <row r="334" spans="3:11" x14ac:dyDescent="0.2">
      <c r="C334">
        <v>2</v>
      </c>
      <c r="D334">
        <v>34</v>
      </c>
      <c r="E334" s="68">
        <v>37.706479946398183</v>
      </c>
      <c r="F334" s="68">
        <v>2.5866611120318987</v>
      </c>
      <c r="G334" s="68">
        <v>13.92241734299761</v>
      </c>
      <c r="H334" s="68">
        <v>1.6939044197877919</v>
      </c>
      <c r="I334" s="62">
        <v>0.95</v>
      </c>
      <c r="J334" s="68">
        <v>1.6092091987984023</v>
      </c>
      <c r="K334" s="68">
        <v>15.691237143882228</v>
      </c>
    </row>
    <row r="335" spans="3:11" x14ac:dyDescent="0.2">
      <c r="C335">
        <v>3</v>
      </c>
      <c r="D335">
        <v>35</v>
      </c>
      <c r="E335" s="68">
        <v>37.096745260220658</v>
      </c>
      <c r="F335" s="68">
        <v>2.5866611120318987</v>
      </c>
      <c r="G335" s="68">
        <v>13.334198093440472</v>
      </c>
      <c r="H335" s="68">
        <v>2.6056935917883024</v>
      </c>
      <c r="I335" s="62">
        <v>0.95</v>
      </c>
      <c r="J335" s="68">
        <v>2.4754089121988874</v>
      </c>
      <c r="K335" s="68">
        <v>23.406970365817461</v>
      </c>
    </row>
    <row r="336" spans="3:11" x14ac:dyDescent="0.2">
      <c r="C336">
        <v>4</v>
      </c>
      <c r="D336">
        <v>36</v>
      </c>
      <c r="E336" s="68">
        <v>36.467581004483364</v>
      </c>
      <c r="F336" s="68">
        <v>2.5866611120318987</v>
      </c>
      <c r="G336" s="68">
        <v>12.727234876901125</v>
      </c>
      <c r="H336" s="68">
        <v>3.5465374847071303</v>
      </c>
      <c r="I336" s="62">
        <v>0.95</v>
      </c>
      <c r="J336" s="68">
        <v>3.3692106104717734</v>
      </c>
      <c r="K336" s="68">
        <v>30.842560717877131</v>
      </c>
    </row>
    <row r="337" spans="3:11" x14ac:dyDescent="0.2">
      <c r="C337">
        <v>5</v>
      </c>
      <c r="D337">
        <v>37</v>
      </c>
      <c r="E337" s="68">
        <v>35.787457356153155</v>
      </c>
      <c r="F337" s="68">
        <v>2.5866611120318987</v>
      </c>
      <c r="G337" s="68">
        <v>12.101318348970262</v>
      </c>
      <c r="H337" s="68">
        <v>4.4854477785537163</v>
      </c>
      <c r="I337" s="62">
        <v>0.95</v>
      </c>
      <c r="J337" s="68">
        <v>4.2611753896260307</v>
      </c>
      <c r="K337" s="68">
        <v>37.736959327215445</v>
      </c>
    </row>
    <row r="338" spans="3:11" x14ac:dyDescent="0.2">
      <c r="C338">
        <v>6</v>
      </c>
      <c r="D338">
        <v>38</v>
      </c>
      <c r="E338" s="68">
        <v>35.039235152806263</v>
      </c>
      <c r="F338" s="68">
        <v>2.5866611120318987</v>
      </c>
      <c r="G338" s="68">
        <v>11.455986802522533</v>
      </c>
      <c r="H338" s="68">
        <v>5.4064795907705729</v>
      </c>
      <c r="I338" s="62">
        <v>0.95</v>
      </c>
      <c r="J338" s="68">
        <v>5.1361556112320441</v>
      </c>
      <c r="K338" s="68">
        <v>43.945897419772507</v>
      </c>
    </row>
    <row r="339" spans="3:11" x14ac:dyDescent="0.2">
      <c r="C339">
        <v>7</v>
      </c>
      <c r="D339">
        <v>39</v>
      </c>
      <c r="E339" s="68">
        <v>34.220663411755588</v>
      </c>
      <c r="F339" s="68">
        <v>2.5866611120318987</v>
      </c>
      <c r="G339" s="68">
        <v>10.790556924804632</v>
      </c>
      <c r="H339" s="68">
        <v>6.3091494371969326</v>
      </c>
      <c r="I339" s="62">
        <v>0.95</v>
      </c>
      <c r="J339" s="68">
        <v>5.9936919653370859</v>
      </c>
      <c r="K339" s="68">
        <v>49.527869793336691</v>
      </c>
    </row>
    <row r="340" spans="3:11" x14ac:dyDescent="0.2">
      <c r="C340">
        <v>8</v>
      </c>
      <c r="D340">
        <v>40</v>
      </c>
      <c r="E340" s="68">
        <v>33.267414979987258</v>
      </c>
      <c r="F340" s="68">
        <v>2.5866611120318987</v>
      </c>
      <c r="G340" s="68">
        <v>10.104968608258487</v>
      </c>
      <c r="H340" s="68">
        <v>7.1292856427019338</v>
      </c>
      <c r="I340" s="62">
        <v>0.95</v>
      </c>
      <c r="J340" s="68">
        <v>6.7728213605668364</v>
      </c>
      <c r="K340" s="68">
        <v>54.010665176764725</v>
      </c>
    </row>
    <row r="341" spans="3:11" x14ac:dyDescent="0.2">
      <c r="C341">
        <v>9</v>
      </c>
      <c r="D341">
        <v>41</v>
      </c>
      <c r="E341" s="68">
        <v>32.190453762253114</v>
      </c>
      <c r="F341" s="68">
        <v>2.5866611120318987</v>
      </c>
      <c r="G341" s="68">
        <v>9.3982675521380159</v>
      </c>
      <c r="H341" s="68">
        <v>7.8803205646664836</v>
      </c>
      <c r="I341" s="62">
        <v>0.95</v>
      </c>
      <c r="J341" s="68">
        <v>7.4863045364331589</v>
      </c>
      <c r="K341" s="68">
        <v>57.566245517106303</v>
      </c>
    </row>
    <row r="342" spans="3:11" x14ac:dyDescent="0.2">
      <c r="C342">
        <v>10</v>
      </c>
      <c r="D342">
        <v>42</v>
      </c>
      <c r="E342" s="68">
        <v>30.923414923103529</v>
      </c>
      <c r="F342" s="68">
        <v>2.5866611120318987</v>
      </c>
      <c r="G342" s="68">
        <v>8.6701917003798386</v>
      </c>
      <c r="H342" s="68">
        <v>8.496567217869277</v>
      </c>
      <c r="I342" s="62">
        <v>0.95</v>
      </c>
      <c r="J342" s="68">
        <v>8.0717388569758128</v>
      </c>
      <c r="K342" s="68">
        <v>59.830583940781864</v>
      </c>
    </row>
    <row r="343" spans="3:11" x14ac:dyDescent="0.2">
      <c r="C343">
        <v>11</v>
      </c>
      <c r="D343">
        <v>43</v>
      </c>
      <c r="E343" s="68">
        <v>29.459706086594007</v>
      </c>
      <c r="F343" s="68">
        <v>2.5866611120318987</v>
      </c>
      <c r="G343" s="68">
        <v>7.919811867833574</v>
      </c>
      <c r="H343" s="68">
        <v>8.9738367134601837</v>
      </c>
      <c r="I343" s="62">
        <v>0.95</v>
      </c>
      <c r="J343" s="68">
        <v>8.5251448777871737</v>
      </c>
      <c r="K343" s="68">
        <v>60.92861069818246</v>
      </c>
    </row>
    <row r="344" spans="3:11" x14ac:dyDescent="0.2">
      <c r="C344">
        <v>12</v>
      </c>
      <c r="D344">
        <v>44</v>
      </c>
      <c r="E344" s="68">
        <v>27.776828095363598</v>
      </c>
      <c r="F344" s="68">
        <v>2.5866611120318987</v>
      </c>
      <c r="G344" s="68">
        <v>7.1462723829595953</v>
      </c>
      <c r="H344" s="68">
        <v>9.2918432263744855</v>
      </c>
      <c r="I344" s="62">
        <v>0.95</v>
      </c>
      <c r="J344" s="68">
        <v>8.8272510650557603</v>
      </c>
      <c r="K344" s="68">
        <v>60.858572795744195</v>
      </c>
    </row>
    <row r="345" spans="3:11" x14ac:dyDescent="0.2">
      <c r="C345">
        <v>13</v>
      </c>
      <c r="D345">
        <v>45</v>
      </c>
      <c r="E345" s="68">
        <v>25.820081652075988</v>
      </c>
      <c r="F345" s="68">
        <v>2.5866611120318987</v>
      </c>
      <c r="G345" s="68">
        <v>6.3488436426409054</v>
      </c>
      <c r="H345" s="68">
        <v>9.3977746952858112</v>
      </c>
      <c r="I345" s="62">
        <v>0.95</v>
      </c>
      <c r="J345" s="68">
        <v>8.9278859605215199</v>
      </c>
      <c r="K345" s="68">
        <v>59.497807816943599</v>
      </c>
    </row>
    <row r="346" spans="3:11" x14ac:dyDescent="0.2">
      <c r="C346">
        <v>14</v>
      </c>
      <c r="D346">
        <v>46</v>
      </c>
      <c r="E346" s="68">
        <v>23.532481965080756</v>
      </c>
      <c r="F346" s="68">
        <v>2.5866611120318987</v>
      </c>
      <c r="G346" s="68">
        <v>5.5266404965172109</v>
      </c>
      <c r="H346" s="68">
        <v>9.2369359125590211</v>
      </c>
      <c r="I346" s="62">
        <v>0.95</v>
      </c>
      <c r="J346" s="68">
        <v>8.7750891169310705</v>
      </c>
      <c r="K346" s="68">
        <v>56.686064915767886</v>
      </c>
    </row>
    <row r="347" spans="3:11" x14ac:dyDescent="0.2">
      <c r="C347">
        <v>15</v>
      </c>
      <c r="D347">
        <v>47</v>
      </c>
      <c r="E347" s="68">
        <v>20.870250084323246</v>
      </c>
      <c r="F347" s="68">
        <v>2.5866611120318987</v>
      </c>
      <c r="G347" s="68">
        <v>4.6785338679183646</v>
      </c>
      <c r="H347" s="68">
        <v>8.7684684668546282</v>
      </c>
      <c r="I347" s="62">
        <v>0.95</v>
      </c>
      <c r="J347" s="68">
        <v>8.3300450435118965</v>
      </c>
      <c r="K347" s="68">
        <v>52.295347315518505</v>
      </c>
    </row>
    <row r="348" spans="3:11" x14ac:dyDescent="0.2">
      <c r="C348">
        <v>16</v>
      </c>
      <c r="D348">
        <v>48</v>
      </c>
      <c r="E348" s="68">
        <v>17.740196096726731</v>
      </c>
      <c r="F348" s="68">
        <v>2.5866611120318987</v>
      </c>
      <c r="G348" s="68">
        <v>3.8034342163994284</v>
      </c>
      <c r="H348" s="68">
        <v>7.9020007169948112</v>
      </c>
      <c r="I348" s="62">
        <v>0.95</v>
      </c>
      <c r="J348" s="68">
        <v>7.50690068114507</v>
      </c>
      <c r="K348" s="68">
        <v>45.997867116642219</v>
      </c>
    </row>
    <row r="349" spans="3:11" x14ac:dyDescent="0.2">
      <c r="C349">
        <v>17</v>
      </c>
      <c r="D349">
        <v>49</v>
      </c>
      <c r="E349" s="68">
        <v>14.092152707106619</v>
      </c>
      <c r="F349" s="68">
        <v>2.5866611120318987</v>
      </c>
      <c r="G349" s="68">
        <v>2.8998325328306143</v>
      </c>
      <c r="H349" s="68">
        <v>6.5912686630287052</v>
      </c>
      <c r="I349" s="62">
        <v>0.95</v>
      </c>
      <c r="J349" s="68">
        <v>6.2617052298772693</v>
      </c>
      <c r="K349" s="68">
        <v>37.374159393530398</v>
      </c>
    </row>
    <row r="350" spans="3:11" x14ac:dyDescent="0.2">
      <c r="C350">
        <v>18</v>
      </c>
      <c r="D350">
        <v>50</v>
      </c>
      <c r="E350" s="68">
        <v>9.9209504986334469</v>
      </c>
      <c r="F350" s="68">
        <v>2.5866611120318987</v>
      </c>
      <c r="G350" s="68">
        <v>1.9659495145631047</v>
      </c>
      <c r="H350" s="68">
        <v>4.8357053410950748</v>
      </c>
      <c r="I350" s="62">
        <v>0.95</v>
      </c>
      <c r="J350" s="68">
        <v>4.5939200740403212</v>
      </c>
      <c r="K350" s="68">
        <v>26.638636940908579</v>
      </c>
    </row>
    <row r="351" spans="3:11" x14ac:dyDescent="0.2">
      <c r="C351">
        <v>19</v>
      </c>
      <c r="D351">
        <v>51</v>
      </c>
      <c r="E351" s="68">
        <v>5.1728155339806303</v>
      </c>
      <c r="F351" s="68">
        <v>2.5866611120318987</v>
      </c>
      <c r="G351" s="68">
        <v>0.99999999999999956</v>
      </c>
      <c r="H351" s="68">
        <v>2.5861544219487329</v>
      </c>
      <c r="I351" s="62">
        <v>0.95</v>
      </c>
      <c r="J351" s="68">
        <v>2.4568467008512962</v>
      </c>
      <c r="K351" s="68">
        <v>13.80312148926558</v>
      </c>
    </row>
    <row r="352" spans="3:11" x14ac:dyDescent="0.2">
      <c r="C352">
        <v>20</v>
      </c>
      <c r="D352">
        <v>52</v>
      </c>
      <c r="E352" s="68">
        <v>0</v>
      </c>
      <c r="F352" s="68">
        <v>2.5866611120318987</v>
      </c>
      <c r="G352" s="68">
        <v>0</v>
      </c>
      <c r="H352" s="68">
        <v>0</v>
      </c>
      <c r="I352" s="62">
        <v>0.95</v>
      </c>
      <c r="J352" s="68">
        <v>0</v>
      </c>
      <c r="K352" s="68"/>
    </row>
    <row r="353" spans="3:11" x14ac:dyDescent="0.2">
      <c r="E353" s="68"/>
      <c r="F353" s="68"/>
      <c r="G353" s="68"/>
      <c r="H353" s="68"/>
      <c r="I353" s="62"/>
      <c r="J353" s="68"/>
      <c r="K353" s="68"/>
    </row>
    <row r="354" spans="3:11" x14ac:dyDescent="0.2">
      <c r="E354" s="68"/>
      <c r="F354" s="68"/>
      <c r="G354" s="68"/>
      <c r="H354" s="68"/>
      <c r="I354" s="62"/>
      <c r="J354" s="68"/>
      <c r="K354" s="68"/>
    </row>
    <row r="355" spans="3:11" x14ac:dyDescent="0.2">
      <c r="C355">
        <v>1</v>
      </c>
      <c r="D355">
        <v>34</v>
      </c>
      <c r="E355" s="68">
        <v>40.750965368037591</v>
      </c>
      <c r="F355" s="68">
        <v>2.7450237337530923</v>
      </c>
      <c r="G355" s="68">
        <v>14.479203561798858</v>
      </c>
      <c r="H355" s="68">
        <v>0</v>
      </c>
      <c r="I355" s="62">
        <v>0</v>
      </c>
      <c r="J355" s="68">
        <v>0</v>
      </c>
      <c r="K355" s="68">
        <v>0</v>
      </c>
    </row>
    <row r="356" spans="3:11" x14ac:dyDescent="0.2">
      <c r="C356">
        <v>2</v>
      </c>
      <c r="D356">
        <v>35</v>
      </c>
      <c r="E356" s="68">
        <v>40.238245076176497</v>
      </c>
      <c r="F356" s="68">
        <v>2.7450237337530923</v>
      </c>
      <c r="G356" s="68">
        <v>13.90872664642956</v>
      </c>
      <c r="H356" s="68">
        <v>2.0584603254432992</v>
      </c>
      <c r="I356" s="62">
        <v>0.95</v>
      </c>
      <c r="J356" s="68">
        <v>1.9555373091711341</v>
      </c>
      <c r="K356" s="68">
        <v>17.830704059048543</v>
      </c>
    </row>
    <row r="357" spans="3:11" x14ac:dyDescent="0.2">
      <c r="C357">
        <v>3</v>
      </c>
      <c r="D357">
        <v>36</v>
      </c>
      <c r="E357" s="68">
        <v>39.709186637903109</v>
      </c>
      <c r="F357" s="68">
        <v>2.7450237337530923</v>
      </c>
      <c r="G357" s="68">
        <v>13.320071134433505</v>
      </c>
      <c r="H357" s="68">
        <v>3.1452752386036593</v>
      </c>
      <c r="I357" s="62">
        <v>0.95</v>
      </c>
      <c r="J357" s="68">
        <v>2.988011476673476</v>
      </c>
      <c r="K357" s="68">
        <v>26.378358160525849</v>
      </c>
    </row>
    <row r="358" spans="3:11" x14ac:dyDescent="0.2">
      <c r="C358">
        <v>4</v>
      </c>
      <c r="D358">
        <v>37</v>
      </c>
      <c r="E358" s="68">
        <v>39.132465974433124</v>
      </c>
      <c r="F358" s="68">
        <v>2.7450237337530923</v>
      </c>
      <c r="G358" s="68">
        <v>12.713065308634393</v>
      </c>
      <c r="H358" s="68">
        <v>4.234799973478637</v>
      </c>
      <c r="I358" s="62">
        <v>0.95</v>
      </c>
      <c r="J358" s="68">
        <v>4.0230599748047053</v>
      </c>
      <c r="K358" s="68">
        <v>34.363885511598994</v>
      </c>
    </row>
    <row r="359" spans="3:11" x14ac:dyDescent="0.2">
      <c r="C359">
        <v>5</v>
      </c>
      <c r="D359">
        <v>38</v>
      </c>
      <c r="E359" s="68">
        <v>38.491111171558032</v>
      </c>
      <c r="F359" s="68">
        <v>2.7450237337530923</v>
      </c>
      <c r="G359" s="68">
        <v>12.087278048849656</v>
      </c>
      <c r="H359" s="68">
        <v>5.3112460509929562</v>
      </c>
      <c r="I359" s="62">
        <v>0.95</v>
      </c>
      <c r="J359" s="68">
        <v>5.0456837484433086</v>
      </c>
      <c r="K359" s="68">
        <v>41.651193996466461</v>
      </c>
    </row>
    <row r="360" spans="3:11" x14ac:dyDescent="0.2">
      <c r="C360">
        <v>6</v>
      </c>
      <c r="D360">
        <v>39</v>
      </c>
      <c r="E360" s="68">
        <v>37.78299237995234</v>
      </c>
      <c r="F360" s="68">
        <v>2.7450237337530923</v>
      </c>
      <c r="G360" s="68">
        <v>11.442048195621869</v>
      </c>
      <c r="H360" s="68">
        <v>6.3742985202235651</v>
      </c>
      <c r="I360" s="62">
        <v>0.95</v>
      </c>
      <c r="J360" s="68">
        <v>6.0555835942123863</v>
      </c>
      <c r="K360" s="68">
        <v>48.292439480689033</v>
      </c>
    </row>
    <row r="361" spans="3:11" x14ac:dyDescent="0.2">
      <c r="C361">
        <v>7</v>
      </c>
      <c r="D361">
        <v>40</v>
      </c>
      <c r="E361" s="68">
        <v>36.94414375776681</v>
      </c>
      <c r="F361" s="68">
        <v>2.7450237337530923</v>
      </c>
      <c r="G361" s="68">
        <v>10.777381719251556</v>
      </c>
      <c r="H361" s="68">
        <v>7.3599751507045816</v>
      </c>
      <c r="I361" s="62">
        <v>0.95</v>
      </c>
      <c r="J361" s="68">
        <v>6.9919763931693524</v>
      </c>
      <c r="K361" s="68">
        <v>53.834355512544391</v>
      </c>
    </row>
    <row r="362" spans="3:11" x14ac:dyDescent="0.2">
      <c r="C362">
        <v>8</v>
      </c>
      <c r="D362">
        <v>41</v>
      </c>
      <c r="E362" s="68">
        <v>35.985621242443578</v>
      </c>
      <c r="F362" s="68">
        <v>2.7450237337530923</v>
      </c>
      <c r="G362" s="68">
        <v>10.09234115025524</v>
      </c>
      <c r="H362" s="68">
        <v>8.2819052558599608</v>
      </c>
      <c r="I362" s="62">
        <v>0.95</v>
      </c>
      <c r="J362" s="68">
        <v>7.8678099930669623</v>
      </c>
      <c r="K362" s="68">
        <v>58.44388484885237</v>
      </c>
    </row>
    <row r="363" spans="3:11" x14ac:dyDescent="0.2">
      <c r="C363">
        <v>9</v>
      </c>
      <c r="D363">
        <v>42</v>
      </c>
      <c r="E363" s="68">
        <v>34.841464614187963</v>
      </c>
      <c r="F363" s="68">
        <v>2.7450237337530923</v>
      </c>
      <c r="G363" s="68">
        <v>9.3867384301058685</v>
      </c>
      <c r="H363" s="68">
        <v>9.074644841015111</v>
      </c>
      <c r="I363" s="62">
        <v>0.95</v>
      </c>
      <c r="J363" s="68">
        <v>8.6209125989643542</v>
      </c>
      <c r="K363" s="68">
        <v>61.768502238752141</v>
      </c>
    </row>
    <row r="364" spans="3:11" x14ac:dyDescent="0.2">
      <c r="C364">
        <v>10</v>
      </c>
      <c r="D364">
        <v>43</v>
      </c>
      <c r="E364" s="68">
        <v>33.505265526871817</v>
      </c>
      <c r="F364" s="68">
        <v>2.7450237337530923</v>
      </c>
      <c r="G364" s="68">
        <v>8.6596780296741596</v>
      </c>
      <c r="H364" s="68">
        <v>9.7342438087560339</v>
      </c>
      <c r="I364" s="62">
        <v>0.95</v>
      </c>
      <c r="J364" s="68">
        <v>9.2475316183182326</v>
      </c>
      <c r="K364" s="68">
        <v>63.928313920116956</v>
      </c>
    </row>
    <row r="365" spans="3:11" x14ac:dyDescent="0.2">
      <c r="C365">
        <v>11</v>
      </c>
      <c r="D365">
        <v>44</v>
      </c>
      <c r="E365" s="68">
        <v>31.954784122762078</v>
      </c>
      <c r="F365" s="68">
        <v>2.7450237337530923</v>
      </c>
      <c r="G365" s="68">
        <v>7.910351699049877</v>
      </c>
      <c r="H365" s="68">
        <v>10.240680966536068</v>
      </c>
      <c r="I365" s="62">
        <v>0.95</v>
      </c>
      <c r="J365" s="68">
        <v>9.7286469182092645</v>
      </c>
      <c r="K365" s="68">
        <v>64.92272500535735</v>
      </c>
    </row>
    <row r="366" spans="3:11" x14ac:dyDescent="0.2">
      <c r="C366">
        <v>12</v>
      </c>
      <c r="D366">
        <v>45</v>
      </c>
      <c r="E366" s="68">
        <v>30.135736395481537</v>
      </c>
      <c r="F366" s="68">
        <v>2.7450237337530923</v>
      </c>
      <c r="G366" s="68">
        <v>7.1381057849895821</v>
      </c>
      <c r="H366" s="68">
        <v>10.541466601644885</v>
      </c>
      <c r="I366" s="62">
        <v>0.95</v>
      </c>
      <c r="J366" s="68">
        <v>10.014393271562641</v>
      </c>
      <c r="K366" s="68">
        <v>64.631239051168762</v>
      </c>
    </row>
    <row r="367" spans="3:11" x14ac:dyDescent="0.2">
      <c r="C367">
        <v>13</v>
      </c>
      <c r="D367">
        <v>46</v>
      </c>
      <c r="E367" s="68">
        <v>27.9915901139433</v>
      </c>
      <c r="F367" s="68">
        <v>2.7450237337530923</v>
      </c>
      <c r="G367" s="68">
        <v>6.3421379030030876</v>
      </c>
      <c r="H367" s="68">
        <v>10.582271047464758</v>
      </c>
      <c r="I367" s="62">
        <v>0.95</v>
      </c>
      <c r="J367" s="68">
        <v>10.05315749509152</v>
      </c>
      <c r="K367" s="68">
        <v>62.899527187597975</v>
      </c>
    </row>
    <row r="368" spans="3:11" x14ac:dyDescent="0.2">
      <c r="C368">
        <v>14</v>
      </c>
      <c r="D368">
        <v>47</v>
      </c>
      <c r="E368" s="68">
        <v>25.478985527576459</v>
      </c>
      <c r="F368" s="68">
        <v>2.7450237337530923</v>
      </c>
      <c r="G368" s="68">
        <v>5.5213956410985574</v>
      </c>
      <c r="H368" s="68">
        <v>10.322623449320048</v>
      </c>
      <c r="I368" s="62">
        <v>0.95</v>
      </c>
      <c r="J368" s="68">
        <v>9.8064922768540459</v>
      </c>
      <c r="K368" s="68">
        <v>59.606534314142856</v>
      </c>
    </row>
    <row r="369" spans="3:11" x14ac:dyDescent="0.2">
      <c r="C369">
        <v>15</v>
      </c>
      <c r="D369">
        <v>48</v>
      </c>
      <c r="E369" s="68">
        <v>22.505415803435994</v>
      </c>
      <c r="F369" s="68">
        <v>2.7450237337530923</v>
      </c>
      <c r="G369" s="68">
        <v>4.6749143829318474</v>
      </c>
      <c r="H369" s="68">
        <v>9.6726648690243806</v>
      </c>
      <c r="I369" s="62">
        <v>0.95</v>
      </c>
      <c r="J369" s="68">
        <v>9.1890316255731612</v>
      </c>
      <c r="K369" s="68">
        <v>54.433517700826663</v>
      </c>
    </row>
    <row r="370" spans="3:11" x14ac:dyDescent="0.2">
      <c r="C370">
        <v>16</v>
      </c>
      <c r="D370">
        <v>49</v>
      </c>
      <c r="E370" s="68">
        <v>19.021228285469419</v>
      </c>
      <c r="F370" s="68">
        <v>2.7450237337530923</v>
      </c>
      <c r="G370" s="68">
        <v>3.8012792383905802</v>
      </c>
      <c r="H370" s="68">
        <v>8.5866265574643972</v>
      </c>
      <c r="I370" s="62">
        <v>0.95</v>
      </c>
      <c r="J370" s="68">
        <v>8.1572952295911776</v>
      </c>
      <c r="K370" s="68">
        <v>46.991705605532836</v>
      </c>
    </row>
    <row r="371" spans="3:11" x14ac:dyDescent="0.2">
      <c r="C371">
        <v>17</v>
      </c>
      <c r="D371">
        <v>50</v>
      </c>
      <c r="E371" s="68">
        <v>15.021565196545444</v>
      </c>
      <c r="F371" s="68">
        <v>2.7450237337530923</v>
      </c>
      <c r="G371" s="68">
        <v>2.8987678985917622</v>
      </c>
      <c r="H371" s="68">
        <v>7.0643785162694792</v>
      </c>
      <c r="I371" s="62">
        <v>0.95</v>
      </c>
      <c r="J371" s="68">
        <v>6.7111595904560053</v>
      </c>
      <c r="K371" s="68">
        <v>37.49107513092175</v>
      </c>
    </row>
    <row r="372" spans="3:11" x14ac:dyDescent="0.2">
      <c r="C372">
        <v>18</v>
      </c>
      <c r="D372">
        <v>51</v>
      </c>
      <c r="E372" s="68">
        <v>10.453230939768142</v>
      </c>
      <c r="F372" s="68">
        <v>2.7450237337530923</v>
      </c>
      <c r="G372" s="68">
        <v>1.9657009708737887</v>
      </c>
      <c r="H372" s="68">
        <v>5.0573351212580961</v>
      </c>
      <c r="I372" s="62">
        <v>0.95</v>
      </c>
      <c r="J372" s="68">
        <v>4.8044683651951914</v>
      </c>
      <c r="K372" s="68">
        <v>25.944431905902078</v>
      </c>
    </row>
    <row r="373" spans="3:11" x14ac:dyDescent="0.2">
      <c r="C373">
        <v>19</v>
      </c>
      <c r="D373">
        <v>52</v>
      </c>
      <c r="E373" s="68">
        <v>5.467961165048516</v>
      </c>
      <c r="F373" s="68">
        <v>2.7450237337530923</v>
      </c>
      <c r="G373" s="68">
        <v>1.0000000000000031</v>
      </c>
      <c r="H373" s="68">
        <v>2.7229374312954153</v>
      </c>
      <c r="I373" s="62">
        <v>0.95</v>
      </c>
      <c r="J373" s="68">
        <v>2.5867905597306446</v>
      </c>
      <c r="K373" s="68">
        <v>13.437422102224856</v>
      </c>
    </row>
    <row r="374" spans="3:11" x14ac:dyDescent="0.2">
      <c r="C374">
        <v>20</v>
      </c>
      <c r="D374">
        <v>53</v>
      </c>
      <c r="E374" s="68">
        <v>0</v>
      </c>
      <c r="F374" s="68">
        <v>2.7450237337530923</v>
      </c>
      <c r="G374" s="68">
        <v>0</v>
      </c>
      <c r="H374" s="68">
        <v>0</v>
      </c>
      <c r="I374" s="62">
        <v>0.95</v>
      </c>
      <c r="J374" s="68">
        <v>0</v>
      </c>
      <c r="K374" s="68"/>
    </row>
    <row r="375" spans="3:11" x14ac:dyDescent="0.2">
      <c r="E375" s="68"/>
      <c r="F375" s="68"/>
      <c r="G375" s="68"/>
      <c r="H375" s="68"/>
      <c r="I375" s="62"/>
      <c r="J375" s="68"/>
      <c r="K375" s="68"/>
    </row>
    <row r="376" spans="3:11" x14ac:dyDescent="0.2">
      <c r="E376" s="68"/>
      <c r="F376" s="68"/>
      <c r="G376" s="68"/>
      <c r="H376" s="68"/>
      <c r="I376" s="62"/>
      <c r="J376" s="68"/>
      <c r="K376" s="68"/>
    </row>
    <row r="377" spans="3:11" x14ac:dyDescent="0.2">
      <c r="C377">
        <v>1</v>
      </c>
      <c r="D377">
        <v>35</v>
      </c>
      <c r="E377" s="68">
        <v>43.477850631839409</v>
      </c>
      <c r="F377" s="68">
        <v>2.9227756023992648</v>
      </c>
      <c r="G377" s="68">
        <v>14.463379858253491</v>
      </c>
      <c r="H377" s="68">
        <v>0</v>
      </c>
      <c r="I377" s="62">
        <v>0</v>
      </c>
      <c r="J377" s="68">
        <v>0</v>
      </c>
      <c r="K377" s="68">
        <v>0</v>
      </c>
    </row>
    <row r="378" spans="3:11" x14ac:dyDescent="0.2">
      <c r="C378">
        <v>2</v>
      </c>
      <c r="D378">
        <v>36</v>
      </c>
      <c r="E378" s="68">
        <v>43.052024210567282</v>
      </c>
      <c r="F378" s="68">
        <v>2.9227756023992648</v>
      </c>
      <c r="G378" s="68">
        <v>13.892398710870351</v>
      </c>
      <c r="H378" s="68">
        <v>2.4476601996324234</v>
      </c>
      <c r="I378" s="62">
        <v>0.95</v>
      </c>
      <c r="J378" s="68">
        <v>2.325277189650802</v>
      </c>
      <c r="K378" s="68">
        <v>19.774090185875405</v>
      </c>
    </row>
    <row r="379" spans="3:11" x14ac:dyDescent="0.2">
      <c r="C379">
        <v>3</v>
      </c>
      <c r="D379">
        <v>37</v>
      </c>
      <c r="E379" s="68">
        <v>42.581935698569644</v>
      </c>
      <c r="F379" s="68">
        <v>2.9227756023992648</v>
      </c>
      <c r="G379" s="68">
        <v>13.303649387068663</v>
      </c>
      <c r="H379" s="68">
        <v>3.6983538471714184</v>
      </c>
      <c r="I379" s="62">
        <v>0.95</v>
      </c>
      <c r="J379" s="68">
        <v>3.5134361548128474</v>
      </c>
      <c r="K379" s="68">
        <v>28.912454080202345</v>
      </c>
    </row>
    <row r="380" spans="3:11" x14ac:dyDescent="0.2">
      <c r="C380">
        <v>4</v>
      </c>
      <c r="D380">
        <v>38</v>
      </c>
      <c r="E380" s="68">
        <v>42.050785652839295</v>
      </c>
      <c r="F380" s="68">
        <v>2.9227756023992648</v>
      </c>
      <c r="G380" s="68">
        <v>12.69673029547859</v>
      </c>
      <c r="H380" s="68">
        <v>4.9410921149708642</v>
      </c>
      <c r="I380" s="62">
        <v>0.95</v>
      </c>
      <c r="J380" s="68">
        <v>4.694037509222321</v>
      </c>
      <c r="K380" s="68">
        <v>37.338583183696272</v>
      </c>
    </row>
    <row r="381" spans="3:11" x14ac:dyDescent="0.2">
      <c r="C381">
        <v>5</v>
      </c>
      <c r="D381">
        <v>39</v>
      </c>
      <c r="E381" s="68">
        <v>41.456569140280045</v>
      </c>
      <c r="F381" s="68">
        <v>2.9227756023992648</v>
      </c>
      <c r="G381" s="68">
        <v>12.071001663563607</v>
      </c>
      <c r="H381" s="68">
        <v>6.175739981495397</v>
      </c>
      <c r="I381" s="62">
        <v>0.95</v>
      </c>
      <c r="J381" s="68">
        <v>5.866952982420627</v>
      </c>
      <c r="K381" s="68">
        <v>45.09747167174725</v>
      </c>
    </row>
    <row r="382" spans="3:11" x14ac:dyDescent="0.2">
      <c r="C382">
        <v>6</v>
      </c>
      <c r="D382">
        <v>40</v>
      </c>
      <c r="E382" s="68">
        <v>40.735692913575441</v>
      </c>
      <c r="F382" s="68">
        <v>2.9227756023992648</v>
      </c>
      <c r="G382" s="68">
        <v>11.426533253573837</v>
      </c>
      <c r="H382" s="68">
        <v>7.3385003000259417</v>
      </c>
      <c r="I382" s="62">
        <v>0.95</v>
      </c>
      <c r="J382" s="68">
        <v>6.9715752850246444</v>
      </c>
      <c r="K382" s="68">
        <v>51.754846014909795</v>
      </c>
    </row>
    <row r="383" spans="3:11" x14ac:dyDescent="0.2">
      <c r="C383">
        <v>7</v>
      </c>
      <c r="D383">
        <v>41</v>
      </c>
      <c r="E383" s="68">
        <v>39.899307816942191</v>
      </c>
      <c r="F383" s="68">
        <v>2.9227756023992648</v>
      </c>
      <c r="G383" s="68">
        <v>10.762403845024776</v>
      </c>
      <c r="H383" s="68">
        <v>8.4432164355357351</v>
      </c>
      <c r="I383" s="62">
        <v>0.95</v>
      </c>
      <c r="J383" s="68">
        <v>8.0210556137589482</v>
      </c>
      <c r="K383" s="68">
        <v>57.472637002100917</v>
      </c>
    </row>
    <row r="384" spans="3:11" x14ac:dyDescent="0.2">
      <c r="C384">
        <v>8</v>
      </c>
      <c r="D384">
        <v>42</v>
      </c>
      <c r="E384" s="68">
        <v>38.881870881962485</v>
      </c>
      <c r="F384" s="68">
        <v>2.9227756023992648</v>
      </c>
      <c r="G384" s="68">
        <v>10.078496817041991</v>
      </c>
      <c r="H384" s="68">
        <v>9.4246862762535066</v>
      </c>
      <c r="I384" s="62">
        <v>0.95</v>
      </c>
      <c r="J384" s="68">
        <v>8.9534519624408304</v>
      </c>
      <c r="K384" s="68">
        <v>61.909265385991574</v>
      </c>
    </row>
    <row r="385" spans="3:11" x14ac:dyDescent="0.2">
      <c r="C385">
        <v>9</v>
      </c>
      <c r="D385">
        <v>43</v>
      </c>
      <c r="E385" s="68">
        <v>37.677163539382406</v>
      </c>
      <c r="F385" s="68">
        <v>2.9227756023992648</v>
      </c>
      <c r="G385" s="68">
        <v>9.3739491322150279</v>
      </c>
      <c r="H385" s="68">
        <v>10.27921371761256</v>
      </c>
      <c r="I385" s="62">
        <v>0.95</v>
      </c>
      <c r="J385" s="68">
        <v>9.7652530317319322</v>
      </c>
      <c r="K385" s="68">
        <v>65.179524446007065</v>
      </c>
    </row>
    <row r="386" spans="3:11" x14ac:dyDescent="0.2">
      <c r="C386">
        <v>10</v>
      </c>
      <c r="D386">
        <v>44</v>
      </c>
      <c r="E386" s="68">
        <v>36.263213328751789</v>
      </c>
      <c r="F386" s="68">
        <v>2.9227756023992648</v>
      </c>
      <c r="G386" s="68">
        <v>8.6479983217509009</v>
      </c>
      <c r="H386" s="68">
        <v>10.987054824348469</v>
      </c>
      <c r="I386" s="62">
        <v>0.95</v>
      </c>
      <c r="J386" s="68">
        <v>10.437702083131045</v>
      </c>
      <c r="K386" s="68">
        <v>67.283661135188197</v>
      </c>
    </row>
    <row r="387" spans="3:11" x14ac:dyDescent="0.2">
      <c r="C387">
        <v>11</v>
      </c>
      <c r="D387">
        <v>45</v>
      </c>
      <c r="E387" s="68">
        <v>34.586164503753032</v>
      </c>
      <c r="F387" s="68">
        <v>2.9227756023992648</v>
      </c>
      <c r="G387" s="68">
        <v>7.9000640548565357</v>
      </c>
      <c r="H387" s="68">
        <v>11.496050026826943</v>
      </c>
      <c r="I387" s="62">
        <v>0.95</v>
      </c>
      <c r="J387" s="68">
        <v>10.921247525485596</v>
      </c>
      <c r="K387" s="68">
        <v>68.102375562450163</v>
      </c>
    </row>
    <row r="388" spans="3:11" x14ac:dyDescent="0.2">
      <c r="C388">
        <v>12</v>
      </c>
      <c r="D388">
        <v>46</v>
      </c>
      <c r="E388" s="68">
        <v>32.589951526853831</v>
      </c>
      <c r="F388" s="68">
        <v>2.9227756023992648</v>
      </c>
      <c r="G388" s="68">
        <v>7.1294238496948754</v>
      </c>
      <c r="H388" s="68">
        <v>11.752245439802206</v>
      </c>
      <c r="I388" s="62">
        <v>0.95</v>
      </c>
      <c r="J388" s="68">
        <v>11.164633167812095</v>
      </c>
      <c r="K388" s="68">
        <v>67.487231356842912</v>
      </c>
    </row>
    <row r="389" spans="3:11" x14ac:dyDescent="0.2">
      <c r="C389">
        <v>13</v>
      </c>
      <c r="D389">
        <v>47</v>
      </c>
      <c r="E389" s="68">
        <v>30.231646938126595</v>
      </c>
      <c r="F389" s="68">
        <v>2.9227756023992648</v>
      </c>
      <c r="G389" s="68">
        <v>6.3350993068011157</v>
      </c>
      <c r="H389" s="68">
        <v>11.715573245431798</v>
      </c>
      <c r="I389" s="62">
        <v>0.95</v>
      </c>
      <c r="J389" s="68">
        <v>11.129794583160209</v>
      </c>
      <c r="K389" s="68">
        <v>65.325034858240898</v>
      </c>
    </row>
    <row r="390" spans="3:11" x14ac:dyDescent="0.2">
      <c r="C390">
        <v>14</v>
      </c>
      <c r="D390">
        <v>48</v>
      </c>
      <c r="E390" s="68">
        <v>27.419448316633105</v>
      </c>
      <c r="F390" s="68">
        <v>2.9227756023992648</v>
      </c>
      <c r="G390" s="68">
        <v>5.5162464122857315</v>
      </c>
      <c r="H390" s="68">
        <v>11.296697885981892</v>
      </c>
      <c r="I390" s="62">
        <v>0.95</v>
      </c>
      <c r="J390" s="68">
        <v>10.731862991682798</v>
      </c>
      <c r="K390" s="68">
        <v>61.307434122287539</v>
      </c>
    </row>
    <row r="391" spans="3:11" x14ac:dyDescent="0.2">
      <c r="C391">
        <v>15</v>
      </c>
      <c r="D391">
        <v>49</v>
      </c>
      <c r="E391" s="68">
        <v>24.104233717092519</v>
      </c>
      <c r="F391" s="68">
        <v>2.9227756023992648</v>
      </c>
      <c r="G391" s="68">
        <v>4.6715411390840202</v>
      </c>
      <c r="H391" s="68">
        <v>10.450367250173274</v>
      </c>
      <c r="I391" s="62">
        <v>0.95</v>
      </c>
      <c r="J391" s="68">
        <v>9.9278488876646094</v>
      </c>
      <c r="K391" s="68">
        <v>55.079300089934236</v>
      </c>
    </row>
    <row r="392" spans="3:11" x14ac:dyDescent="0.2">
      <c r="C392">
        <v>16</v>
      </c>
      <c r="D392">
        <v>50</v>
      </c>
      <c r="E392" s="68">
        <v>20.281466734252199</v>
      </c>
      <c r="F392" s="68">
        <v>2.9227756023992648</v>
      </c>
      <c r="G392" s="68">
        <v>3.7993162004265191</v>
      </c>
      <c r="H392" s="68">
        <v>9.1769180378452937</v>
      </c>
      <c r="I392" s="62">
        <v>0.95</v>
      </c>
      <c r="J392" s="68">
        <v>8.7180721359530278</v>
      </c>
      <c r="K392" s="68">
        <v>46.845334408955118</v>
      </c>
    </row>
    <row r="393" spans="3:11" x14ac:dyDescent="0.2">
      <c r="C393">
        <v>17</v>
      </c>
      <c r="D393">
        <v>51</v>
      </c>
      <c r="E393" s="68">
        <v>15.898548172611081</v>
      </c>
      <c r="F393" s="68">
        <v>2.9227756023992648</v>
      </c>
      <c r="G393" s="68">
        <v>2.8979943135978852</v>
      </c>
      <c r="H393" s="68">
        <v>7.4283610969353777</v>
      </c>
      <c r="I393" s="62">
        <v>0.95</v>
      </c>
      <c r="J393" s="68">
        <v>7.0569430420886086</v>
      </c>
      <c r="K393" s="68">
        <v>36.617780030571758</v>
      </c>
    </row>
    <row r="394" spans="3:11" x14ac:dyDescent="0.2">
      <c r="C394">
        <v>18</v>
      </c>
      <c r="D394">
        <v>52</v>
      </c>
      <c r="E394" s="68">
        <v>11.106681014233198</v>
      </c>
      <c r="F394" s="68">
        <v>2.9227756023992648</v>
      </c>
      <c r="G394" s="68">
        <v>1.9654058252427156</v>
      </c>
      <c r="H394" s="68">
        <v>5.3622408194003954</v>
      </c>
      <c r="I394" s="62">
        <v>0.95</v>
      </c>
      <c r="J394" s="68">
        <v>5.0941287784303757</v>
      </c>
      <c r="K394" s="68">
        <v>25.43473257234956</v>
      </c>
    </row>
    <row r="395" spans="3:11" x14ac:dyDescent="0.2">
      <c r="C395">
        <v>19</v>
      </c>
      <c r="D395">
        <v>53</v>
      </c>
      <c r="E395" s="68">
        <v>5.8407766990291554</v>
      </c>
      <c r="F395" s="68">
        <v>2.9227756023992648</v>
      </c>
      <c r="G395" s="68">
        <v>0.99999999999999412</v>
      </c>
      <c r="H395" s="68">
        <v>2.9180010966299079</v>
      </c>
      <c r="I395" s="62">
        <v>0.95</v>
      </c>
      <c r="J395" s="68">
        <v>2.7721010417984124</v>
      </c>
      <c r="K395" s="68">
        <v>13.31508167744146</v>
      </c>
    </row>
    <row r="396" spans="3:11" x14ac:dyDescent="0.2">
      <c r="C396">
        <v>20</v>
      </c>
      <c r="D396">
        <v>54</v>
      </c>
      <c r="E396" s="68">
        <v>0</v>
      </c>
      <c r="F396" s="68">
        <v>2.9227756023992648</v>
      </c>
      <c r="G396" s="68">
        <v>0</v>
      </c>
      <c r="H396" s="68">
        <v>0</v>
      </c>
      <c r="I396" s="62">
        <v>0.95</v>
      </c>
      <c r="J396" s="68">
        <v>0</v>
      </c>
      <c r="K396" s="68"/>
    </row>
    <row r="397" spans="3:11" x14ac:dyDescent="0.2">
      <c r="E397" s="68"/>
      <c r="F397" s="68"/>
      <c r="G397" s="68"/>
      <c r="H397" s="68"/>
      <c r="I397" s="62"/>
      <c r="J397" s="68"/>
      <c r="K397" s="68"/>
    </row>
    <row r="398" spans="3:11" x14ac:dyDescent="0.2">
      <c r="E398" s="68"/>
      <c r="F398" s="68"/>
      <c r="G398" s="68"/>
      <c r="H398" s="68"/>
      <c r="I398" s="62"/>
      <c r="J398" s="68"/>
      <c r="K398" s="68"/>
    </row>
    <row r="399" spans="3:11" x14ac:dyDescent="0.2">
      <c r="C399">
        <v>1</v>
      </c>
      <c r="D399">
        <v>36</v>
      </c>
      <c r="E399" s="68">
        <v>46.535362330536707</v>
      </c>
      <c r="F399" s="68">
        <v>3.1238580627023711</v>
      </c>
      <c r="G399" s="68">
        <v>14.444713714498517</v>
      </c>
      <c r="H399" s="68">
        <v>0</v>
      </c>
      <c r="I399" s="62">
        <v>0</v>
      </c>
      <c r="J399" s="68">
        <v>0</v>
      </c>
      <c r="K399" s="68">
        <v>0</v>
      </c>
    </row>
    <row r="400" spans="3:11" x14ac:dyDescent="0.2">
      <c r="C400">
        <v>2</v>
      </c>
      <c r="D400">
        <v>37</v>
      </c>
      <c r="E400" s="68">
        <v>46.17638775391999</v>
      </c>
      <c r="F400" s="68">
        <v>3.1238580627023711</v>
      </c>
      <c r="G400" s="68">
        <v>13.87358251776616</v>
      </c>
      <c r="H400" s="68">
        <v>2.8372851472295082</v>
      </c>
      <c r="I400" s="62">
        <v>0.95</v>
      </c>
      <c r="J400" s="68">
        <v>2.6954208898680325</v>
      </c>
      <c r="K400" s="68">
        <v>21.331970419235699</v>
      </c>
    </row>
    <row r="401" spans="3:11" x14ac:dyDescent="0.2">
      <c r="C401">
        <v>3</v>
      </c>
      <c r="D401">
        <v>38</v>
      </c>
      <c r="E401" s="68">
        <v>45.760074407018053</v>
      </c>
      <c r="F401" s="68">
        <v>3.1238580627023711</v>
      </c>
      <c r="G401" s="68">
        <v>13.284871831316673</v>
      </c>
      <c r="H401" s="68">
        <v>4.2600204247918469</v>
      </c>
      <c r="I401" s="62">
        <v>0.95</v>
      </c>
      <c r="J401" s="68">
        <v>4.0470194035522544</v>
      </c>
      <c r="K401" s="68">
        <v>30.964963896879013</v>
      </c>
    </row>
    <row r="402" spans="3:11" x14ac:dyDescent="0.2">
      <c r="C402">
        <v>4</v>
      </c>
      <c r="D402">
        <v>39</v>
      </c>
      <c r="E402" s="68">
        <v>45.284547523233556</v>
      </c>
      <c r="F402" s="68">
        <v>3.1238580627023711</v>
      </c>
      <c r="G402" s="68">
        <v>12.677962521698181</v>
      </c>
      <c r="H402" s="68">
        <v>5.6803920811882094</v>
      </c>
      <c r="I402" s="62">
        <v>0.95</v>
      </c>
      <c r="J402" s="68">
        <v>5.3963724771287991</v>
      </c>
      <c r="K402" s="68">
        <v>39.906990459498871</v>
      </c>
    </row>
    <row r="403" spans="3:11" x14ac:dyDescent="0.2">
      <c r="C403">
        <v>5</v>
      </c>
      <c r="D403">
        <v>40</v>
      </c>
      <c r="E403" s="68">
        <v>44.686602110051936</v>
      </c>
      <c r="F403" s="68">
        <v>3.1238580627023711</v>
      </c>
      <c r="G403" s="68">
        <v>12.052985912497926</v>
      </c>
      <c r="H403" s="68">
        <v>7.0347848876571959</v>
      </c>
      <c r="I403" s="62">
        <v>0.95</v>
      </c>
      <c r="J403" s="68">
        <v>6.6830456432743359</v>
      </c>
      <c r="K403" s="68">
        <v>47.742938922224766</v>
      </c>
    </row>
    <row r="404" spans="3:11" x14ac:dyDescent="0.2">
      <c r="C404">
        <v>6</v>
      </c>
      <c r="D404">
        <v>41</v>
      </c>
      <c r="E404" s="68">
        <v>43.977487907426983</v>
      </c>
      <c r="F404" s="68">
        <v>3.1238580627023711</v>
      </c>
      <c r="G404" s="68">
        <v>11.409036464051781</v>
      </c>
      <c r="H404" s="68">
        <v>8.3372773615334808</v>
      </c>
      <c r="I404" s="62">
        <v>0.95</v>
      </c>
      <c r="J404" s="68">
        <v>7.920413493456806</v>
      </c>
      <c r="K404" s="68">
        <v>54.629646272296377</v>
      </c>
    </row>
    <row r="405" spans="3:11" x14ac:dyDescent="0.2">
      <c r="C405">
        <v>7</v>
      </c>
      <c r="D405">
        <v>42</v>
      </c>
      <c r="E405" s="68">
        <v>43.092096735528443</v>
      </c>
      <c r="F405" s="68">
        <v>3.1238580627023711</v>
      </c>
      <c r="G405" s="68">
        <v>10.746066495178232</v>
      </c>
      <c r="H405" s="68">
        <v>9.5229102722301135</v>
      </c>
      <c r="I405" s="62">
        <v>0.95</v>
      </c>
      <c r="J405" s="68">
        <v>9.0467647586186075</v>
      </c>
      <c r="K405" s="68">
        <v>60.236245010320744</v>
      </c>
    </row>
    <row r="406" spans="3:11" x14ac:dyDescent="0.2">
      <c r="C406">
        <v>8</v>
      </c>
      <c r="D406">
        <v>43</v>
      </c>
      <c r="E406" s="68">
        <v>42.024407778360178</v>
      </c>
      <c r="F406" s="68">
        <v>3.1238580627023711</v>
      </c>
      <c r="G406" s="68">
        <v>10.063244324048032</v>
      </c>
      <c r="H406" s="68">
        <v>10.58826085973886</v>
      </c>
      <c r="I406" s="62">
        <v>0.95</v>
      </c>
      <c r="J406" s="68">
        <v>10.058847816751916</v>
      </c>
      <c r="K406" s="68">
        <v>64.671857741384528</v>
      </c>
    </row>
    <row r="407" spans="3:11" x14ac:dyDescent="0.2">
      <c r="C407">
        <v>9</v>
      </c>
      <c r="D407">
        <v>44</v>
      </c>
      <c r="E407" s="68">
        <v>40.752727211549484</v>
      </c>
      <c r="F407" s="68">
        <v>3.1238580627023711</v>
      </c>
      <c r="G407" s="68">
        <v>9.3598516621575687</v>
      </c>
      <c r="H407" s="68">
        <v>11.513879131020374</v>
      </c>
      <c r="I407" s="62">
        <v>0.95</v>
      </c>
      <c r="J407" s="68">
        <v>10.938185174469355</v>
      </c>
      <c r="K407" s="68">
        <v>67.937386167415042</v>
      </c>
    </row>
    <row r="408" spans="3:11" x14ac:dyDescent="0.2">
      <c r="C408">
        <v>10</v>
      </c>
      <c r="D408">
        <v>45</v>
      </c>
      <c r="E408" s="68">
        <v>39.22364554874752</v>
      </c>
      <c r="F408" s="68">
        <v>3.1238580627023711</v>
      </c>
      <c r="G408" s="68">
        <v>8.635378937298718</v>
      </c>
      <c r="H408" s="68">
        <v>12.247947430976687</v>
      </c>
      <c r="I408" s="62">
        <v>0.95</v>
      </c>
      <c r="J408" s="68">
        <v>11.635550059427851</v>
      </c>
      <c r="K408" s="68">
        <v>69.914294798333074</v>
      </c>
    </row>
    <row r="409" spans="3:11" x14ac:dyDescent="0.2">
      <c r="C409">
        <v>11</v>
      </c>
      <c r="D409">
        <v>46</v>
      </c>
      <c r="E409" s="68">
        <v>37.38158356125804</v>
      </c>
      <c r="F409" s="68">
        <v>3.1238580627023711</v>
      </c>
      <c r="G409" s="68">
        <v>7.8891807763322586</v>
      </c>
      <c r="H409" s="68">
        <v>12.736902584995963</v>
      </c>
      <c r="I409" s="62">
        <v>0.95</v>
      </c>
      <c r="J409" s="68">
        <v>12.100057455746164</v>
      </c>
      <c r="K409" s="68">
        <v>70.460319281180048</v>
      </c>
    </row>
    <row r="410" spans="3:11" x14ac:dyDescent="0.2">
      <c r="C410">
        <v>12</v>
      </c>
      <c r="D410">
        <v>47</v>
      </c>
      <c r="E410" s="68">
        <v>35.18406424911273</v>
      </c>
      <c r="F410" s="68">
        <v>3.1238580627023711</v>
      </c>
      <c r="G410" s="68">
        <v>7.1203502043251019</v>
      </c>
      <c r="H410" s="68">
        <v>12.941100854067283</v>
      </c>
      <c r="I410" s="62">
        <v>0.95</v>
      </c>
      <c r="J410" s="68">
        <v>12.294045811363919</v>
      </c>
      <c r="K410" s="68">
        <v>69.470996975656078</v>
      </c>
    </row>
    <row r="411" spans="3:11" x14ac:dyDescent="0.2">
      <c r="C411">
        <v>13</v>
      </c>
      <c r="D411">
        <v>48</v>
      </c>
      <c r="E411" s="68">
        <v>32.54001921004523</v>
      </c>
      <c r="F411" s="68">
        <v>3.1238580627023711</v>
      </c>
      <c r="G411" s="68">
        <v>6.3281595927374852</v>
      </c>
      <c r="H411" s="68">
        <v>12.771746844204884</v>
      </c>
      <c r="I411" s="62">
        <v>0.95</v>
      </c>
      <c r="J411" s="68">
        <v>12.133159501994639</v>
      </c>
      <c r="K411" s="68">
        <v>66.649727531043467</v>
      </c>
    </row>
    <row r="412" spans="3:11" x14ac:dyDescent="0.2">
      <c r="C412">
        <v>14</v>
      </c>
      <c r="D412">
        <v>49</v>
      </c>
      <c r="E412" s="68">
        <v>29.400879515492225</v>
      </c>
      <c r="F412" s="68">
        <v>3.1238580627023711</v>
      </c>
      <c r="G412" s="68">
        <v>5.5113726003450738</v>
      </c>
      <c r="H412" s="68">
        <v>12.184133781347334</v>
      </c>
      <c r="I412" s="62">
        <v>0.95</v>
      </c>
      <c r="J412" s="68">
        <v>11.574927092279967</v>
      </c>
      <c r="K412" s="68">
        <v>61.676421988994456</v>
      </c>
    </row>
    <row r="413" spans="3:11" x14ac:dyDescent="0.2">
      <c r="C413">
        <v>15</v>
      </c>
      <c r="D413">
        <v>50</v>
      </c>
      <c r="E413" s="68">
        <v>25.762443639443983</v>
      </c>
      <c r="F413" s="68">
        <v>3.1238580627023711</v>
      </c>
      <c r="G413" s="68">
        <v>4.668375038534224</v>
      </c>
      <c r="H413" s="68">
        <v>11.179102635600355</v>
      </c>
      <c r="I413" s="62">
        <v>0.95</v>
      </c>
      <c r="J413" s="68">
        <v>10.620147503820336</v>
      </c>
      <c r="K413" s="68">
        <v>54.749602345139849</v>
      </c>
    </row>
    <row r="414" spans="3:11" x14ac:dyDescent="0.2">
      <c r="C414">
        <v>16</v>
      </c>
      <c r="D414">
        <v>51</v>
      </c>
      <c r="E414" s="68">
        <v>21.572733854738367</v>
      </c>
      <c r="F414" s="68">
        <v>3.1238580627023711</v>
      </c>
      <c r="G414" s="68">
        <v>3.7976881640583566</v>
      </c>
      <c r="H414" s="68">
        <v>9.7092950638153042</v>
      </c>
      <c r="I414" s="62">
        <v>0.95</v>
      </c>
      <c r="J414" s="68">
        <v>9.223830310624539</v>
      </c>
      <c r="K414" s="68">
        <v>45.880149021909183</v>
      </c>
    </row>
    <row r="415" spans="3:11" x14ac:dyDescent="0.2">
      <c r="C415">
        <v>17</v>
      </c>
      <c r="D415">
        <v>52</v>
      </c>
      <c r="E415" s="68">
        <v>16.982398087390084</v>
      </c>
      <c r="F415" s="68">
        <v>3.1238580627023711</v>
      </c>
      <c r="G415" s="68">
        <v>2.8970543143670562</v>
      </c>
      <c r="H415" s="68">
        <v>7.9324116093678665</v>
      </c>
      <c r="I415" s="62">
        <v>0.95</v>
      </c>
      <c r="J415" s="68">
        <v>7.5357910288994727</v>
      </c>
      <c r="K415" s="68">
        <v>36.057781196993439</v>
      </c>
    </row>
    <row r="416" spans="3:11" x14ac:dyDescent="0.2">
      <c r="C416">
        <v>18</v>
      </c>
      <c r="D416">
        <v>53</v>
      </c>
      <c r="E416" s="68">
        <v>11.927043136959172</v>
      </c>
      <c r="F416" s="68">
        <v>3.1238580627023711</v>
      </c>
      <c r="G416" s="68">
        <v>1.9650330097087445</v>
      </c>
      <c r="H416" s="68">
        <v>5.7885589261042041</v>
      </c>
      <c r="I416" s="62">
        <v>0.95</v>
      </c>
      <c r="J416" s="68">
        <v>5.499130979798994</v>
      </c>
      <c r="K416" s="68">
        <v>25.290961135706247</v>
      </c>
    </row>
    <row r="417" spans="3:11" x14ac:dyDescent="0.2">
      <c r="C417">
        <v>19</v>
      </c>
      <c r="D417">
        <v>54</v>
      </c>
      <c r="E417" s="68">
        <v>6.3067961165048096</v>
      </c>
      <c r="F417" s="68">
        <v>3.1238580627023711</v>
      </c>
      <c r="G417" s="68">
        <v>1.0000000000000131</v>
      </c>
      <c r="H417" s="68">
        <v>3.1829380538023977</v>
      </c>
      <c r="I417" s="62">
        <v>0.95</v>
      </c>
      <c r="J417" s="68">
        <v>3.0237911511122775</v>
      </c>
      <c r="K417" s="68">
        <v>13.332170075358732</v>
      </c>
    </row>
    <row r="418" spans="3:11" x14ac:dyDescent="0.2">
      <c r="C418">
        <v>20</v>
      </c>
      <c r="D418">
        <v>55</v>
      </c>
      <c r="E418" s="68">
        <v>0</v>
      </c>
      <c r="F418" s="68">
        <v>3.1238580627023711</v>
      </c>
      <c r="G418" s="68">
        <v>0</v>
      </c>
      <c r="H418" s="68">
        <v>0</v>
      </c>
      <c r="I418" s="62">
        <v>0.95</v>
      </c>
      <c r="J418" s="68">
        <v>0</v>
      </c>
      <c r="K418" s="68"/>
    </row>
    <row r="419" spans="3:11" x14ac:dyDescent="0.2">
      <c r="E419" s="68"/>
      <c r="F419" s="68"/>
      <c r="G419" s="68"/>
      <c r="H419" s="68"/>
      <c r="I419" s="62"/>
      <c r="J419" s="68"/>
      <c r="K419" s="68"/>
    </row>
    <row r="420" spans="3:11" x14ac:dyDescent="0.2">
      <c r="E420" s="68"/>
      <c r="F420" s="68"/>
      <c r="G420" s="68"/>
      <c r="H420" s="68"/>
      <c r="I420" s="62"/>
      <c r="J420" s="68"/>
      <c r="K420" s="68"/>
    </row>
    <row r="421" spans="3:11" x14ac:dyDescent="0.2">
      <c r="C421">
        <v>1</v>
      </c>
      <c r="D421">
        <v>37</v>
      </c>
      <c r="E421" s="68">
        <v>49.993602386793583</v>
      </c>
      <c r="F421" s="68">
        <v>3.3540120798611586</v>
      </c>
      <c r="G421" s="68">
        <v>14.423321202310314</v>
      </c>
      <c r="H421" s="68">
        <v>0</v>
      </c>
      <c r="I421" s="62">
        <v>0</v>
      </c>
      <c r="J421" s="68">
        <v>0</v>
      </c>
      <c r="K421" s="68">
        <v>0</v>
      </c>
    </row>
    <row r="422" spans="3:11" x14ac:dyDescent="0.2">
      <c r="C422">
        <v>2</v>
      </c>
      <c r="D422">
        <v>38</v>
      </c>
      <c r="E422" s="68">
        <v>49.699242628479965</v>
      </c>
      <c r="F422" s="68">
        <v>3.3540120798611586</v>
      </c>
      <c r="G422" s="68">
        <v>13.852173742405286</v>
      </c>
      <c r="H422" s="68">
        <v>3.2388845641170789</v>
      </c>
      <c r="I422" s="62">
        <v>0.95</v>
      </c>
      <c r="J422" s="68">
        <v>3.0769403359112246</v>
      </c>
      <c r="K422" s="68">
        <v>22.603226349526704</v>
      </c>
    </row>
    <row r="423" spans="3:11" x14ac:dyDescent="0.2">
      <c r="C423">
        <v>3</v>
      </c>
      <c r="D423">
        <v>39</v>
      </c>
      <c r="E423" s="68">
        <v>49.349761044716921</v>
      </c>
      <c r="F423" s="68">
        <v>3.3540120798611586</v>
      </c>
      <c r="G423" s="68">
        <v>13.263416929853641</v>
      </c>
      <c r="H423" s="68">
        <v>4.8641004417528109</v>
      </c>
      <c r="I423" s="62">
        <v>0.95</v>
      </c>
      <c r="J423" s="68">
        <v>4.6208954196651701</v>
      </c>
      <c r="K423" s="68">
        <v>32.81343126507921</v>
      </c>
    </row>
    <row r="424" spans="3:11" x14ac:dyDescent="0.2">
      <c r="C424">
        <v>4</v>
      </c>
      <c r="D424">
        <v>40</v>
      </c>
      <c r="E424" s="68">
        <v>48.882364959495476</v>
      </c>
      <c r="F424" s="68">
        <v>3.3540120798611586</v>
      </c>
      <c r="G424" s="68">
        <v>12.657241468276284</v>
      </c>
      <c r="H424" s="68">
        <v>6.4298241771772311</v>
      </c>
      <c r="I424" s="62">
        <v>0.95</v>
      </c>
      <c r="J424" s="68">
        <v>6.1083329683183694</v>
      </c>
      <c r="K424" s="68">
        <v>41.909893700026394</v>
      </c>
    </row>
    <row r="425" spans="3:11" x14ac:dyDescent="0.2">
      <c r="C425">
        <v>5</v>
      </c>
      <c r="D425">
        <v>41</v>
      </c>
      <c r="E425" s="68">
        <v>48.308409137471038</v>
      </c>
      <c r="F425" s="68">
        <v>3.3540120798611586</v>
      </c>
      <c r="G425" s="68">
        <v>12.032756943210806</v>
      </c>
      <c r="H425" s="68">
        <v>7.9503969959087684</v>
      </c>
      <c r="I425" s="62">
        <v>0.95</v>
      </c>
      <c r="J425" s="68">
        <v>7.5528771461133299</v>
      </c>
      <c r="K425" s="68">
        <v>50.04431739848733</v>
      </c>
    </row>
    <row r="426" spans="3:11" x14ac:dyDescent="0.2">
      <c r="C426">
        <v>6</v>
      </c>
      <c r="D426">
        <v>42</v>
      </c>
      <c r="E426" s="68">
        <v>47.563247132989567</v>
      </c>
      <c r="F426" s="68">
        <v>3.3540120798611586</v>
      </c>
      <c r="G426" s="68">
        <v>11.389982170427805</v>
      </c>
      <c r="H426" s="68">
        <v>9.3611093439714921</v>
      </c>
      <c r="I426" s="62">
        <v>0.95</v>
      </c>
      <c r="J426" s="68">
        <v>8.8930538767729175</v>
      </c>
      <c r="K426" s="68">
        <v>56.896502469237156</v>
      </c>
    </row>
    <row r="427" spans="3:11" x14ac:dyDescent="0.2">
      <c r="C427">
        <v>7</v>
      </c>
      <c r="D427">
        <v>43</v>
      </c>
      <c r="E427" s="68">
        <v>46.641068138873443</v>
      </c>
      <c r="F427" s="68">
        <v>3.3540120798611586</v>
      </c>
      <c r="G427" s="68">
        <v>10.728115712656621</v>
      </c>
      <c r="H427" s="68">
        <v>10.658838444474839</v>
      </c>
      <c r="I427" s="62">
        <v>0.95</v>
      </c>
      <c r="J427" s="68">
        <v>10.125896522251097</v>
      </c>
      <c r="K427" s="68">
        <v>62.569824832500331</v>
      </c>
    </row>
    <row r="428" spans="3:11" x14ac:dyDescent="0.2">
      <c r="C428">
        <v>8</v>
      </c>
      <c r="D428">
        <v>44</v>
      </c>
      <c r="E428" s="68">
        <v>45.520474235020103</v>
      </c>
      <c r="F428" s="68">
        <v>3.3540120798611586</v>
      </c>
      <c r="G428" s="68">
        <v>10.046481896242399</v>
      </c>
      <c r="H428" s="68">
        <v>11.824452594916657</v>
      </c>
      <c r="I428" s="62">
        <v>0.95</v>
      </c>
      <c r="J428" s="68">
        <v>11.233229965170825</v>
      </c>
      <c r="K428" s="68">
        <v>67.065847678387385</v>
      </c>
    </row>
    <row r="429" spans="3:11" x14ac:dyDescent="0.2">
      <c r="C429">
        <v>9</v>
      </c>
      <c r="D429">
        <v>45</v>
      </c>
      <c r="E429" s="68">
        <v>44.148529851565534</v>
      </c>
      <c r="F429" s="68">
        <v>3.3540120798611586</v>
      </c>
      <c r="G429" s="68">
        <v>9.344639400372337</v>
      </c>
      <c r="H429" s="68">
        <v>12.806496420770184</v>
      </c>
      <c r="I429" s="62">
        <v>0.95</v>
      </c>
      <c r="J429" s="68">
        <v>12.166171599731674</v>
      </c>
      <c r="K429" s="68">
        <v>70.266932336808807</v>
      </c>
    </row>
    <row r="430" spans="3:11" x14ac:dyDescent="0.2">
      <c r="C430">
        <v>10</v>
      </c>
      <c r="D430">
        <v>46</v>
      </c>
      <c r="E430" s="68">
        <v>42.470172207154128</v>
      </c>
      <c r="F430" s="68">
        <v>3.3540120798611586</v>
      </c>
      <c r="G430" s="68">
        <v>8.6220172284118064</v>
      </c>
      <c r="H430" s="68">
        <v>13.551822270289904</v>
      </c>
      <c r="I430" s="62">
        <v>0.95</v>
      </c>
      <c r="J430" s="68">
        <v>12.874231156775409</v>
      </c>
      <c r="K430" s="68">
        <v>72.037483492754816</v>
      </c>
    </row>
    <row r="431" spans="3:11" x14ac:dyDescent="0.2">
      <c r="C431">
        <v>11</v>
      </c>
      <c r="D431">
        <v>47</v>
      </c>
      <c r="E431" s="68">
        <v>40.44340267858307</v>
      </c>
      <c r="F431" s="68">
        <v>3.3540120798611586</v>
      </c>
      <c r="G431" s="68">
        <v>7.8777772991733155</v>
      </c>
      <c r="H431" s="68">
        <v>14.021242454699756</v>
      </c>
      <c r="I431" s="62">
        <v>0.95</v>
      </c>
      <c r="J431" s="68">
        <v>13.320180331964767</v>
      </c>
      <c r="K431" s="68">
        <v>72.282414889487768</v>
      </c>
    </row>
    <row r="432" spans="3:11" x14ac:dyDescent="0.2">
      <c r="C432">
        <v>12</v>
      </c>
      <c r="D432">
        <v>48</v>
      </c>
      <c r="E432" s="68">
        <v>37.977932372332269</v>
      </c>
      <c r="F432" s="68">
        <v>3.3540120798611586</v>
      </c>
      <c r="G432" s="68">
        <v>7.1113042455836286</v>
      </c>
      <c r="H432" s="68">
        <v>14.126532029076834</v>
      </c>
      <c r="I432" s="62">
        <v>0.95</v>
      </c>
      <c r="J432" s="68">
        <v>13.420205427622992</v>
      </c>
      <c r="K432" s="68">
        <v>70.718015664686774</v>
      </c>
    </row>
    <row r="433" spans="3:11" x14ac:dyDescent="0.2">
      <c r="C433">
        <v>13</v>
      </c>
      <c r="D433">
        <v>49</v>
      </c>
      <c r="E433" s="68">
        <v>35.025779649214854</v>
      </c>
      <c r="F433" s="68">
        <v>3.3540120798611586</v>
      </c>
      <c r="G433" s="68">
        <v>6.3214463052855487</v>
      </c>
      <c r="H433" s="68">
        <v>13.823572379093434</v>
      </c>
      <c r="I433" s="62">
        <v>0.95</v>
      </c>
      <c r="J433" s="68">
        <v>13.132393760138761</v>
      </c>
      <c r="K433" s="68">
        <v>67.058460195192623</v>
      </c>
    </row>
    <row r="434" spans="3:11" x14ac:dyDescent="0.2">
      <c r="C434">
        <v>14</v>
      </c>
      <c r="D434">
        <v>50</v>
      </c>
      <c r="E434" s="68">
        <v>31.583098616270775</v>
      </c>
      <c r="F434" s="68">
        <v>3.3540120798611586</v>
      </c>
      <c r="G434" s="68">
        <v>5.506640506393782</v>
      </c>
      <c r="H434" s="68">
        <v>13.113759838373262</v>
      </c>
      <c r="I434" s="62">
        <v>0.95</v>
      </c>
      <c r="J434" s="68">
        <v>12.458071846454599</v>
      </c>
      <c r="K434" s="68">
        <v>61.495100990399763</v>
      </c>
    </row>
    <row r="435" spans="3:11" x14ac:dyDescent="0.2">
      <c r="C435">
        <v>15</v>
      </c>
      <c r="D435">
        <v>51</v>
      </c>
      <c r="E435" s="68">
        <v>27.598571529556637</v>
      </c>
      <c r="F435" s="68">
        <v>3.3540120798611586</v>
      </c>
      <c r="G435" s="68">
        <v>4.6655031535805573</v>
      </c>
      <c r="H435" s="68">
        <v>11.950417593817116</v>
      </c>
      <c r="I435" s="62">
        <v>0.95</v>
      </c>
      <c r="J435" s="68">
        <v>11.35289671412626</v>
      </c>
      <c r="K435" s="68">
        <v>54.036677377360732</v>
      </c>
    </row>
    <row r="436" spans="3:11" x14ac:dyDescent="0.2">
      <c r="C436">
        <v>16</v>
      </c>
      <c r="D436">
        <v>52</v>
      </c>
      <c r="E436" s="68">
        <v>23.222256859993337</v>
      </c>
      <c r="F436" s="68">
        <v>3.3540120798611586</v>
      </c>
      <c r="G436" s="68">
        <v>3.7956916935311091</v>
      </c>
      <c r="H436" s="68">
        <v>10.491461068461339</v>
      </c>
      <c r="I436" s="62">
        <v>0.95</v>
      </c>
      <c r="J436" s="68">
        <v>9.9668880150382719</v>
      </c>
      <c r="K436" s="68">
        <v>45.624491037172788</v>
      </c>
    </row>
    <row r="437" spans="3:11" x14ac:dyDescent="0.2">
      <c r="C437">
        <v>17</v>
      </c>
      <c r="D437">
        <v>53</v>
      </c>
      <c r="E437" s="68">
        <v>18.39049986101038</v>
      </c>
      <c r="F437" s="68">
        <v>3.3540120798611586</v>
      </c>
      <c r="G437" s="68">
        <v>2.8958719954152183</v>
      </c>
      <c r="H437" s="68">
        <v>8.6777102066560996</v>
      </c>
      <c r="I437" s="62">
        <v>0.95</v>
      </c>
      <c r="J437" s="68">
        <v>8.2438246963232942</v>
      </c>
      <c r="K437" s="68">
        <v>36.257815139552918</v>
      </c>
    </row>
    <row r="438" spans="3:11" x14ac:dyDescent="0.2">
      <c r="C438">
        <v>18</v>
      </c>
      <c r="D438">
        <v>54</v>
      </c>
      <c r="E438" s="68">
        <v>13.004449625789407</v>
      </c>
      <c r="F438" s="68">
        <v>3.3540120798611586</v>
      </c>
      <c r="G438" s="68">
        <v>1.9645669902912732</v>
      </c>
      <c r="H438" s="68">
        <v>6.4152682086559976</v>
      </c>
      <c r="I438" s="62">
        <v>0.95</v>
      </c>
      <c r="J438" s="68">
        <v>6.0945047982231975</v>
      </c>
      <c r="K438" s="68">
        <v>25.699996591469503</v>
      </c>
    </row>
    <row r="439" spans="3:11" x14ac:dyDescent="0.2">
      <c r="C439">
        <v>19</v>
      </c>
      <c r="D439">
        <v>55</v>
      </c>
      <c r="E439" s="68">
        <v>6.9436893203883772</v>
      </c>
      <c r="F439" s="68">
        <v>3.3540120798611586</v>
      </c>
      <c r="G439" s="68">
        <v>0.999999999999998</v>
      </c>
      <c r="H439" s="68">
        <v>3.5896772405272253</v>
      </c>
      <c r="I439" s="62">
        <v>0.95</v>
      </c>
      <c r="J439" s="68">
        <v>3.410193378500864</v>
      </c>
      <c r="K439" s="68">
        <v>13.773422851254679</v>
      </c>
    </row>
    <row r="440" spans="3:11" x14ac:dyDescent="0.2">
      <c r="C440">
        <v>20</v>
      </c>
      <c r="D440">
        <v>56</v>
      </c>
      <c r="E440" s="68">
        <v>0</v>
      </c>
      <c r="F440" s="68">
        <v>3.3540120798611586</v>
      </c>
      <c r="G440" s="68">
        <v>0</v>
      </c>
      <c r="H440" s="68">
        <v>0</v>
      </c>
      <c r="I440" s="62">
        <v>0.95</v>
      </c>
      <c r="J440" s="68">
        <v>0</v>
      </c>
      <c r="K440" s="68"/>
    </row>
    <row r="441" spans="3:11" x14ac:dyDescent="0.2">
      <c r="E441" s="68"/>
      <c r="F441" s="68"/>
      <c r="G441" s="68"/>
      <c r="H441" s="68"/>
      <c r="I441" s="62"/>
      <c r="J441" s="68"/>
      <c r="K441" s="68"/>
    </row>
    <row r="442" spans="3:11" x14ac:dyDescent="0.2">
      <c r="E442" s="68"/>
      <c r="F442" s="68"/>
      <c r="G442" s="68"/>
      <c r="H442" s="68"/>
      <c r="I442" s="62"/>
      <c r="J442" s="68"/>
      <c r="K442" s="68"/>
    </row>
    <row r="443" spans="3:11" x14ac:dyDescent="0.2">
      <c r="C443">
        <v>1</v>
      </c>
      <c r="D443">
        <v>38</v>
      </c>
      <c r="E443" s="68">
        <v>53.887076685382759</v>
      </c>
      <c r="F443" s="68">
        <v>3.6147227872560559</v>
      </c>
      <c r="G443" s="68">
        <v>14.39901312863879</v>
      </c>
      <c r="H443" s="68">
        <v>0</v>
      </c>
      <c r="I443" s="62">
        <v>0</v>
      </c>
      <c r="J443" s="68">
        <v>0</v>
      </c>
      <c r="K443" s="68">
        <v>0</v>
      </c>
    </row>
    <row r="444" spans="3:11" x14ac:dyDescent="0.2">
      <c r="C444">
        <v>2</v>
      </c>
      <c r="D444">
        <v>39</v>
      </c>
      <c r="E444" s="68">
        <v>53.671597198119784</v>
      </c>
      <c r="F444" s="68">
        <v>3.6147227872560559</v>
      </c>
      <c r="G444" s="68">
        <v>13.827754054347169</v>
      </c>
      <c r="H444" s="68">
        <v>3.68809952129876</v>
      </c>
      <c r="I444" s="62">
        <v>0.95</v>
      </c>
      <c r="J444" s="68">
        <v>3.503694545233822</v>
      </c>
      <c r="K444" s="68">
        <v>23.864649670289097</v>
      </c>
    </row>
    <row r="445" spans="3:11" x14ac:dyDescent="0.2">
      <c r="C445">
        <v>3</v>
      </c>
      <c r="D445">
        <v>40</v>
      </c>
      <c r="E445" s="68">
        <v>53.342991560779843</v>
      </c>
      <c r="F445" s="68">
        <v>3.6147227872560559</v>
      </c>
      <c r="G445" s="68">
        <v>13.239701584823306</v>
      </c>
      <c r="H445" s="68">
        <v>5.4851405456489175</v>
      </c>
      <c r="I445" s="62">
        <v>0.95</v>
      </c>
      <c r="J445" s="68">
        <v>5.2108835183664715</v>
      </c>
      <c r="K445" s="68">
        <v>34.299068996749575</v>
      </c>
    </row>
    <row r="446" spans="3:11" x14ac:dyDescent="0.2">
      <c r="C446">
        <v>4</v>
      </c>
      <c r="D446">
        <v>41</v>
      </c>
      <c r="E446" s="68">
        <v>52.912726192560058</v>
      </c>
      <c r="F446" s="68">
        <v>3.6147227872560559</v>
      </c>
      <c r="G446" s="68">
        <v>12.633979885241954</v>
      </c>
      <c r="H446" s="68">
        <v>7.2443912076413142</v>
      </c>
      <c r="I446" s="62">
        <v>0.95</v>
      </c>
      <c r="J446" s="68">
        <v>6.8821716472592485</v>
      </c>
      <c r="K446" s="68">
        <v>43.755957417349833</v>
      </c>
    </row>
    <row r="447" spans="3:11" x14ac:dyDescent="0.2">
      <c r="C447">
        <v>5</v>
      </c>
      <c r="D447">
        <v>42</v>
      </c>
      <c r="E447" s="68">
        <v>52.316645529637128</v>
      </c>
      <c r="F447" s="68">
        <v>3.6147227872560559</v>
      </c>
      <c r="G447" s="68">
        <v>12.01067186978721</v>
      </c>
      <c r="H447" s="68">
        <v>8.9013962316619981</v>
      </c>
      <c r="I447" s="62">
        <v>0.95</v>
      </c>
      <c r="J447" s="68">
        <v>8.4563264200788986</v>
      </c>
      <c r="K447" s="68">
        <v>51.925577452630435</v>
      </c>
    </row>
    <row r="448" spans="3:11" x14ac:dyDescent="0.2">
      <c r="C448">
        <v>6</v>
      </c>
      <c r="D448">
        <v>43</v>
      </c>
      <c r="E448" s="68">
        <v>51.54916203077007</v>
      </c>
      <c r="F448" s="68">
        <v>3.6147227872560559</v>
      </c>
      <c r="G448" s="68">
        <v>11.369005254828721</v>
      </c>
      <c r="H448" s="68">
        <v>10.453359667706849</v>
      </c>
      <c r="I448" s="62">
        <v>0.95</v>
      </c>
      <c r="J448" s="68">
        <v>9.9306916843215056</v>
      </c>
      <c r="K448" s="68">
        <v>58.905735992153978</v>
      </c>
    </row>
    <row r="449" spans="3:11" x14ac:dyDescent="0.2">
      <c r="C449">
        <v>7</v>
      </c>
      <c r="D449">
        <v>44</v>
      </c>
      <c r="E449" s="68">
        <v>50.589192359522322</v>
      </c>
      <c r="F449" s="68">
        <v>3.6147227872560559</v>
      </c>
      <c r="G449" s="68">
        <v>10.708345444446923</v>
      </c>
      <c r="H449" s="68">
        <v>11.88149206767045</v>
      </c>
      <c r="I449" s="62">
        <v>0.95</v>
      </c>
      <c r="J449" s="68">
        <v>11.287417464286927</v>
      </c>
      <c r="K449" s="68">
        <v>64.698758758652986</v>
      </c>
    </row>
    <row r="450" spans="3:11" x14ac:dyDescent="0.2">
      <c r="C450">
        <v>8</v>
      </c>
      <c r="D450">
        <v>45</v>
      </c>
      <c r="E450" s="68">
        <v>49.384304779195546</v>
      </c>
      <c r="F450" s="68">
        <v>3.6147227872560559</v>
      </c>
      <c r="G450" s="68">
        <v>10.028316907403132</v>
      </c>
      <c r="H450" s="68">
        <v>13.134719136180266</v>
      </c>
      <c r="I450" s="62">
        <v>0.95</v>
      </c>
      <c r="J450" s="68">
        <v>12.477983179371252</v>
      </c>
      <c r="K450" s="68">
        <v>69.188127332678619</v>
      </c>
    </row>
    <row r="451" spans="3:11" x14ac:dyDescent="0.2">
      <c r="C451">
        <v>9</v>
      </c>
      <c r="D451">
        <v>46</v>
      </c>
      <c r="E451" s="68">
        <v>47.879985557279028</v>
      </c>
      <c r="F451" s="68">
        <v>3.6147227872560559</v>
      </c>
      <c r="G451" s="68">
        <v>9.3284203408140201</v>
      </c>
      <c r="H451" s="68">
        <v>14.160331982235689</v>
      </c>
      <c r="I451" s="62">
        <v>0.95</v>
      </c>
      <c r="J451" s="68">
        <v>13.452315383123905</v>
      </c>
      <c r="K451" s="68">
        <v>72.245217695122108</v>
      </c>
    </row>
    <row r="452" spans="3:11" x14ac:dyDescent="0.2">
      <c r="C452">
        <v>10</v>
      </c>
      <c r="D452">
        <v>47</v>
      </c>
      <c r="E452" s="68">
        <v>46.034744645578186</v>
      </c>
      <c r="F452" s="68">
        <v>3.6147227872560559</v>
      </c>
      <c r="G452" s="68">
        <v>8.6078840722469678</v>
      </c>
      <c r="H452" s="68">
        <v>14.919629939568619</v>
      </c>
      <c r="I452" s="62">
        <v>0.95</v>
      </c>
      <c r="J452" s="68">
        <v>14.173648442590187</v>
      </c>
      <c r="K452" s="68">
        <v>73.784575041273499</v>
      </c>
    </row>
    <row r="453" spans="3:11" x14ac:dyDescent="0.2">
      <c r="C453">
        <v>11</v>
      </c>
      <c r="D453">
        <v>48</v>
      </c>
      <c r="E453" s="68">
        <v>43.759121866964705</v>
      </c>
      <c r="F453" s="68">
        <v>3.6147227872560559</v>
      </c>
      <c r="G453" s="68">
        <v>7.8662009468350753</v>
      </c>
      <c r="H453" s="68">
        <v>15.324986055304795</v>
      </c>
      <c r="I453" s="62">
        <v>0.95</v>
      </c>
      <c r="J453" s="68">
        <v>14.558736752539554</v>
      </c>
      <c r="K453" s="68">
        <v>73.535708400222632</v>
      </c>
    </row>
    <row r="454" spans="3:11" x14ac:dyDescent="0.2">
      <c r="C454">
        <v>12</v>
      </c>
      <c r="D454">
        <v>49</v>
      </c>
      <c r="E454" s="68">
        <v>41.005759945140994</v>
      </c>
      <c r="F454" s="68">
        <v>3.6147227872560559</v>
      </c>
      <c r="G454" s="68">
        <v>7.102300730336756</v>
      </c>
      <c r="H454" s="68">
        <v>15.332911653247393</v>
      </c>
      <c r="I454" s="62">
        <v>0.95</v>
      </c>
      <c r="J454" s="68">
        <v>14.566266070585023</v>
      </c>
      <c r="K454" s="68">
        <v>71.245102927425748</v>
      </c>
    </row>
    <row r="455" spans="3:11" x14ac:dyDescent="0.2">
      <c r="C455">
        <v>13</v>
      </c>
      <c r="D455">
        <v>50</v>
      </c>
      <c r="E455" s="68">
        <v>37.771191070060283</v>
      </c>
      <c r="F455" s="68">
        <v>3.6147227872560559</v>
      </c>
      <c r="G455" s="68">
        <v>6.3146698202126448</v>
      </c>
      <c r="H455" s="68">
        <v>14.945410176939536</v>
      </c>
      <c r="I455" s="62">
        <v>0.95</v>
      </c>
      <c r="J455" s="68">
        <v>14.198139668092558</v>
      </c>
      <c r="K455" s="68">
        <v>67.096269048280107</v>
      </c>
    </row>
    <row r="456" spans="3:11" x14ac:dyDescent="0.2">
      <c r="C456">
        <v>14</v>
      </c>
      <c r="D456">
        <v>51</v>
      </c>
      <c r="E456" s="68">
        <v>34.00479914341733</v>
      </c>
      <c r="F456" s="68">
        <v>3.6147227872560559</v>
      </c>
      <c r="G456" s="68">
        <v>5.502016140684578</v>
      </c>
      <c r="H456" s="68">
        <v>14.116536023834165</v>
      </c>
      <c r="I456" s="62">
        <v>0.95</v>
      </c>
      <c r="J456" s="68">
        <v>13.410709222642456</v>
      </c>
      <c r="K456" s="68">
        <v>61.095102300339548</v>
      </c>
    </row>
    <row r="457" spans="3:11" x14ac:dyDescent="0.2">
      <c r="C457">
        <v>15</v>
      </c>
      <c r="D457">
        <v>52</v>
      </c>
      <c r="E457" s="68">
        <v>29.856015970812294</v>
      </c>
      <c r="F457" s="68">
        <v>3.6147227872560559</v>
      </c>
      <c r="G457" s="68">
        <v>4.6619153096750656</v>
      </c>
      <c r="H457" s="68">
        <v>13.004484468671961</v>
      </c>
      <c r="I457" s="62">
        <v>0.95</v>
      </c>
      <c r="J457" s="68">
        <v>12.354260245238363</v>
      </c>
      <c r="K457" s="68">
        <v>54.136592130447283</v>
      </c>
    </row>
    <row r="458" spans="3:11" x14ac:dyDescent="0.2">
      <c r="C458">
        <v>16</v>
      </c>
      <c r="D458">
        <v>53</v>
      </c>
      <c r="E458" s="68">
        <v>25.261971875539736</v>
      </c>
      <c r="F458" s="68">
        <v>3.6147227872560559</v>
      </c>
      <c r="G458" s="68">
        <v>3.79313570927998</v>
      </c>
      <c r="H458" s="68">
        <v>11.55083779205073</v>
      </c>
      <c r="I458" s="62">
        <v>0.95</v>
      </c>
      <c r="J458" s="68">
        <v>10.973295902448193</v>
      </c>
      <c r="K458" s="68">
        <v>46.212183224395964</v>
      </c>
    </row>
    <row r="459" spans="3:11" x14ac:dyDescent="0.2">
      <c r="C459">
        <v>17</v>
      </c>
      <c r="D459">
        <v>54</v>
      </c>
      <c r="E459" s="68">
        <v>20.1249024449145</v>
      </c>
      <c r="F459" s="68">
        <v>3.6147227872560559</v>
      </c>
      <c r="G459" s="68">
        <v>2.8943421428900118</v>
      </c>
      <c r="H459" s="68">
        <v>9.662657946894452</v>
      </c>
      <c r="I459" s="62">
        <v>0.95</v>
      </c>
      <c r="J459" s="68">
        <v>9.1795250495497296</v>
      </c>
      <c r="K459" s="68">
        <v>37.095840547162446</v>
      </c>
    </row>
    <row r="460" spans="3:11" x14ac:dyDescent="0.2">
      <c r="C460">
        <v>18</v>
      </c>
      <c r="D460">
        <v>55</v>
      </c>
      <c r="E460" s="68">
        <v>14.325709326043963</v>
      </c>
      <c r="F460" s="68">
        <v>3.6147227872560559</v>
      </c>
      <c r="G460" s="68">
        <v>1.9639300970873781</v>
      </c>
      <c r="H460" s="68">
        <v>7.2266464515242195</v>
      </c>
      <c r="I460" s="62">
        <v>0.95</v>
      </c>
      <c r="J460" s="68">
        <v>6.8653141289480084</v>
      </c>
      <c r="K460" s="68">
        <v>26.614435561811902</v>
      </c>
    </row>
    <row r="461" spans="3:11" x14ac:dyDescent="0.2">
      <c r="C461">
        <v>19</v>
      </c>
      <c r="D461">
        <v>56</v>
      </c>
      <c r="E461" s="68">
        <v>7.6582524271844763</v>
      </c>
      <c r="F461" s="68">
        <v>3.6147227872560559</v>
      </c>
      <c r="G461" s="68">
        <v>1.0000000000000013</v>
      </c>
      <c r="H461" s="68">
        <v>4.0435296399284155</v>
      </c>
      <c r="I461" s="62">
        <v>0.95</v>
      </c>
      <c r="J461" s="68">
        <v>3.8413531579319944</v>
      </c>
      <c r="K461" s="68">
        <v>14.310157185726277</v>
      </c>
    </row>
    <row r="462" spans="3:11" x14ac:dyDescent="0.2">
      <c r="C462">
        <v>20</v>
      </c>
      <c r="D462">
        <v>57</v>
      </c>
      <c r="E462" s="68">
        <v>0</v>
      </c>
      <c r="F462" s="68">
        <v>3.6147227872560559</v>
      </c>
      <c r="G462" s="68">
        <v>0</v>
      </c>
      <c r="H462" s="68">
        <v>0</v>
      </c>
      <c r="I462" s="62">
        <v>0.95</v>
      </c>
      <c r="J462" s="68">
        <v>0</v>
      </c>
      <c r="K462" s="68"/>
    </row>
  </sheetData>
  <mergeCells count="9">
    <mergeCell ref="B48:B67"/>
    <mergeCell ref="B70:B89"/>
    <mergeCell ref="B26:B45"/>
    <mergeCell ref="B5:Q5"/>
    <mergeCell ref="B6:O6"/>
    <mergeCell ref="C15:E15"/>
    <mergeCell ref="B21:G21"/>
    <mergeCell ref="B22:G22"/>
    <mergeCell ref="L24:O24"/>
  </mergeCells>
  <dataValidations count="1">
    <dataValidation allowBlank="1" showInputMessage="1" showErrorMessage="1" prompt="CELDA PROTEGIDA!!!!" sqref="G24" xr:uid="{00000000-0002-0000-0900-000000000000}"/>
  </dataValidations>
  <pageMargins left="0.82677165354330717" right="0.19685039370078741" top="0.74803149606299213" bottom="0.74803149606299213" header="0.31496062992125984" footer="0.31496062992125984"/>
  <pageSetup scale="65" orientation="landscape" horizontalDpi="4294967293" verticalDpi="0" r:id="rId1"/>
  <headerFooter>
    <oddFooter>&amp;A&amp;RPágina &amp;P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 sizeWithCells="1">
              <from>
                <xdr:col>3</xdr:col>
                <xdr:colOff>1219200</xdr:colOff>
                <xdr:row>21</xdr:row>
                <xdr:rowOff>142875</xdr:rowOff>
              </from>
              <to>
                <xdr:col>5</xdr:col>
                <xdr:colOff>28575</xdr:colOff>
                <xdr:row>25</xdr:row>
                <xdr:rowOff>114300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 sizeWithCells="1">
              <from>
                <xdr:col>5</xdr:col>
                <xdr:colOff>66675</xdr:colOff>
                <xdr:row>23</xdr:row>
                <xdr:rowOff>114300</xdr:rowOff>
              </from>
              <to>
                <xdr:col>5</xdr:col>
                <xdr:colOff>1028700</xdr:colOff>
                <xdr:row>25</xdr:row>
                <xdr:rowOff>9525</xdr:rowOff>
              </to>
            </anchor>
          </objectPr>
        </oleObject>
      </mc:Choice>
      <mc:Fallback>
        <oleObject progId="Equation.3" shapeId="5122" r:id="rId6"/>
      </mc:Fallback>
    </mc:AlternateContent>
    <mc:AlternateContent xmlns:mc="http://schemas.openxmlformats.org/markup-compatibility/2006">
      <mc:Choice Requires="x14">
        <oleObject progId="Equation.3" shapeId="5123" r:id="rId8">
          <objectPr defaultSize="0" autoPict="0" r:id="rId9">
            <anchor moveWithCells="1" sizeWithCells="1">
              <from>
                <xdr:col>6</xdr:col>
                <xdr:colOff>28575</xdr:colOff>
                <xdr:row>23</xdr:row>
                <xdr:rowOff>47625</xdr:rowOff>
              </from>
              <to>
                <xdr:col>6</xdr:col>
                <xdr:colOff>1800225</xdr:colOff>
                <xdr:row>25</xdr:row>
                <xdr:rowOff>28575</xdr:rowOff>
              </to>
            </anchor>
          </objectPr>
        </oleObject>
      </mc:Choice>
      <mc:Fallback>
        <oleObject progId="Equation.3" shapeId="5123" r:id="rId8"/>
      </mc:Fallback>
    </mc:AlternateContent>
    <mc:AlternateContent xmlns:mc="http://schemas.openxmlformats.org/markup-compatibility/2006">
      <mc:Choice Requires="x14">
        <oleObject progId="Equation.3" shapeId="5124" r:id="rId10">
          <objectPr defaultSize="0" autoPict="0" r:id="rId11">
            <anchor moveWithCells="1" sizeWithCells="1">
              <from>
                <xdr:col>4</xdr:col>
                <xdr:colOff>114300</xdr:colOff>
                <xdr:row>16</xdr:row>
                <xdr:rowOff>104775</xdr:rowOff>
              </from>
              <to>
                <xdr:col>7</xdr:col>
                <xdr:colOff>161925</xdr:colOff>
                <xdr:row>21</xdr:row>
                <xdr:rowOff>57150</xdr:rowOff>
              </to>
            </anchor>
          </objectPr>
        </oleObject>
      </mc:Choice>
      <mc:Fallback>
        <oleObject progId="Equation.3" shapeId="5124" r:id="rId10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Q35"/>
  <sheetViews>
    <sheetView topLeftCell="A17" workbookViewId="0">
      <selection activeCell="E8" sqref="E8"/>
    </sheetView>
  </sheetViews>
  <sheetFormatPr defaultColWidth="11.42578125" defaultRowHeight="12.75" x14ac:dyDescent="0.2"/>
  <cols>
    <col min="1" max="1" width="10.28515625" customWidth="1"/>
    <col min="2" max="2" width="3.5703125" customWidth="1"/>
    <col min="3" max="3" width="20.28515625" customWidth="1"/>
    <col min="4" max="4" width="21.85546875" customWidth="1"/>
    <col min="5" max="5" width="27.140625" customWidth="1"/>
    <col min="6" max="6" width="16.85546875" customWidth="1"/>
    <col min="7" max="7" width="29.42578125" customWidth="1"/>
    <col min="8" max="8" width="13.28515625" customWidth="1"/>
    <col min="9" max="9" width="4.7109375" customWidth="1"/>
    <col min="10" max="10" width="19.42578125" customWidth="1"/>
    <col min="11" max="11" width="24.5703125" customWidth="1"/>
    <col min="12" max="12" width="13.7109375" hidden="1" customWidth="1"/>
    <col min="13" max="13" width="12.85546875" hidden="1" customWidth="1"/>
    <col min="14" max="14" width="13" hidden="1" customWidth="1"/>
    <col min="15" max="15" width="0.42578125" customWidth="1"/>
    <col min="16" max="16" width="2" hidden="1" customWidth="1"/>
    <col min="17" max="17" width="11.42578125" hidden="1" customWidth="1"/>
  </cols>
  <sheetData>
    <row r="3" spans="2:17" x14ac:dyDescent="0.2">
      <c r="J3" s="1" t="s">
        <v>48</v>
      </c>
    </row>
    <row r="4" spans="2:17" x14ac:dyDescent="0.2">
      <c r="O4" s="1"/>
    </row>
    <row r="5" spans="2:17" ht="18" x14ac:dyDescent="0.25">
      <c r="B5" s="173" t="s">
        <v>65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2:17" ht="15" x14ac:dyDescent="0.25">
      <c r="B6" s="174" t="s">
        <v>35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2:17" ht="15.75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7" ht="15.75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10" spans="2:17" ht="6" customHeight="1" x14ac:dyDescent="0.2"/>
    <row r="11" spans="2:17" ht="18" x14ac:dyDescent="0.25">
      <c r="B11" s="50"/>
      <c r="C11" s="51" t="s">
        <v>25</v>
      </c>
      <c r="D11" s="51"/>
      <c r="E11" s="51"/>
      <c r="F11" s="51" t="s">
        <v>26</v>
      </c>
      <c r="G11" s="52">
        <v>1000</v>
      </c>
    </row>
    <row r="12" spans="2:17" ht="0.75" customHeight="1" x14ac:dyDescent="0.25">
      <c r="B12" s="46"/>
      <c r="C12" s="46"/>
      <c r="D12" s="46"/>
      <c r="E12" s="46"/>
      <c r="F12" s="46"/>
      <c r="G12" s="40">
        <v>1</v>
      </c>
      <c r="H12" s="41" t="s">
        <v>17</v>
      </c>
    </row>
    <row r="13" spans="2:17" ht="18" x14ac:dyDescent="0.25">
      <c r="B13" s="50"/>
      <c r="C13" s="53" t="s">
        <v>27</v>
      </c>
      <c r="D13" s="50"/>
      <c r="E13" s="50"/>
      <c r="F13" s="51" t="s">
        <v>26</v>
      </c>
      <c r="G13" s="40" t="s">
        <v>52</v>
      </c>
      <c r="H13" s="41"/>
    </row>
    <row r="14" spans="2:17" ht="18" x14ac:dyDescent="0.25">
      <c r="B14" s="50"/>
      <c r="C14" s="53" t="s">
        <v>28</v>
      </c>
      <c r="D14" s="50"/>
      <c r="E14" s="50"/>
      <c r="F14" s="51" t="s">
        <v>26</v>
      </c>
      <c r="G14" s="40">
        <v>25</v>
      </c>
      <c r="H14" s="41" t="s">
        <v>17</v>
      </c>
      <c r="I14" s="82" t="s">
        <v>78</v>
      </c>
    </row>
    <row r="15" spans="2:17" ht="18" x14ac:dyDescent="0.25">
      <c r="B15" s="46"/>
      <c r="C15" s="175" t="s">
        <v>33</v>
      </c>
      <c r="D15" s="175"/>
      <c r="E15" s="175"/>
      <c r="F15" s="51"/>
      <c r="G15" s="88">
        <v>10</v>
      </c>
      <c r="H15" s="40"/>
      <c r="I15" s="82" t="s">
        <v>79</v>
      </c>
    </row>
    <row r="16" spans="2:17" ht="18" x14ac:dyDescent="0.25">
      <c r="B16" s="46"/>
      <c r="C16" s="54" t="s">
        <v>34</v>
      </c>
      <c r="D16" s="46"/>
      <c r="E16" s="46"/>
      <c r="F16" s="46"/>
      <c r="G16" s="46"/>
      <c r="H16" s="40"/>
      <c r="I16" s="82" t="s">
        <v>80</v>
      </c>
    </row>
    <row r="17" spans="2:16" ht="18" x14ac:dyDescent="0.25">
      <c r="B17" s="46"/>
      <c r="C17" s="46"/>
      <c r="D17" s="46"/>
      <c r="E17" s="46"/>
      <c r="F17" s="46"/>
      <c r="H17" s="40"/>
      <c r="I17" s="41"/>
    </row>
    <row r="18" spans="2:16" ht="18" x14ac:dyDescent="0.25">
      <c r="B18" s="46"/>
      <c r="C18" s="46"/>
      <c r="D18" s="46"/>
      <c r="E18" s="46"/>
      <c r="F18" s="46"/>
      <c r="G18" s="46"/>
      <c r="H18" s="40"/>
      <c r="I18" s="41"/>
    </row>
    <row r="19" spans="2:16" ht="18" x14ac:dyDescent="0.25">
      <c r="B19" s="46"/>
      <c r="C19" s="46" t="s">
        <v>29</v>
      </c>
      <c r="D19" s="46"/>
      <c r="F19" s="46"/>
      <c r="G19" s="46"/>
      <c r="H19" s="40"/>
      <c r="I19" s="41"/>
    </row>
    <row r="20" spans="2:16" ht="18" x14ac:dyDescent="0.25">
      <c r="B20" s="46"/>
      <c r="C20" s="46"/>
      <c r="D20" s="46"/>
      <c r="E20" s="46"/>
      <c r="F20" s="46"/>
      <c r="G20" s="46"/>
      <c r="H20" s="40"/>
      <c r="I20" s="41"/>
    </row>
    <row r="21" spans="2:16" x14ac:dyDescent="0.2">
      <c r="B21" s="176"/>
      <c r="C21" s="176"/>
      <c r="D21" s="176"/>
      <c r="E21" s="176"/>
      <c r="F21" s="176"/>
      <c r="G21" s="176"/>
      <c r="H21" s="55"/>
      <c r="I21" s="55"/>
      <c r="J21" s="69"/>
      <c r="K21" s="55"/>
    </row>
    <row r="22" spans="2:16" x14ac:dyDescent="0.2">
      <c r="B22" s="177"/>
      <c r="C22" s="177"/>
      <c r="D22" s="177"/>
      <c r="E22" s="177"/>
      <c r="F22" s="177"/>
      <c r="G22" s="177"/>
      <c r="H22" s="30"/>
      <c r="I22" s="30"/>
      <c r="J22" s="30"/>
      <c r="K22" s="30"/>
    </row>
    <row r="23" spans="2:16" x14ac:dyDescent="0.2">
      <c r="G23" s="45">
        <v>0.4</v>
      </c>
      <c r="H23" s="30"/>
      <c r="I23" s="30"/>
      <c r="J23" s="30"/>
      <c r="K23" s="30"/>
      <c r="L23" s="31"/>
      <c r="M23" s="31"/>
      <c r="N23" s="31"/>
      <c r="O23" s="31"/>
    </row>
    <row r="24" spans="2:16" ht="18" x14ac:dyDescent="0.25">
      <c r="F24" s="2"/>
      <c r="G24" s="39"/>
      <c r="K24" s="49"/>
      <c r="L24" s="177"/>
      <c r="M24" s="177"/>
      <c r="N24" s="177"/>
      <c r="O24" s="177"/>
      <c r="P24" s="32"/>
    </row>
    <row r="25" spans="2:16" ht="54.75" customHeight="1" x14ac:dyDescent="0.3">
      <c r="B25" s="56"/>
      <c r="C25" s="58" t="s">
        <v>30</v>
      </c>
      <c r="D25" s="58" t="s">
        <v>31</v>
      </c>
      <c r="E25" s="58"/>
      <c r="F25" s="58"/>
      <c r="G25" s="58"/>
      <c r="H25" s="58" t="s">
        <v>36</v>
      </c>
      <c r="I25" s="59"/>
      <c r="J25" s="59" t="s">
        <v>32</v>
      </c>
      <c r="K25" s="60" t="s">
        <v>37</v>
      </c>
      <c r="L25" s="56"/>
      <c r="M25" s="56"/>
      <c r="N25" s="56"/>
      <c r="O25" s="56"/>
      <c r="P25" s="32"/>
    </row>
    <row r="26" spans="2:16" x14ac:dyDescent="0.2">
      <c r="B26" s="144">
        <f>G14</f>
        <v>25</v>
      </c>
      <c r="C26" s="26">
        <v>1</v>
      </c>
      <c r="D26" s="26">
        <f>$G$14+C26</f>
        <v>26</v>
      </c>
      <c r="E26" s="70">
        <f>+IF($G$13="H",(VLOOKUP(D26,'CSO2001'!_xlnm.Print_Area,11)-VLOOKUP($G$14+$G$15,'CSO2001'!_xlnm.Print_Area,11))/VLOOKUP(D26,'CSO2001'!_xlnm.Print_Area,8)*$G$11,(VLOOKUP(D26-3,'CSO2001'!_xlnm.Print_Area,11)-VLOOKUP($G$14+$G$15-3,'CSO2001'!_xlnm.Print_Area,11))/VLOOKUP(D26-3,'CSO2001'!_xlnm.Print_Area,8)*$G$11)</f>
        <v>14.209840807890973</v>
      </c>
      <c r="F26" s="68">
        <f>+IF($G$13="H",(VLOOKUP(G14,'CSO2001'!_xlnm.Print_Area,11)-VLOOKUP($G$14+$G$15,'CSO2001'!_xlnm.Print_Area,11))/(VLOOKUP(G14,'CSO2001'!_xlnm.Print_Area,9)-VLOOKUP($G$14+$G$15,'CSO2001'!_xlnm.Print_Area,9))*$G$11,(VLOOKUP($G$14-3,'CSO2001'!_xlnm.Print_Area,11)-VLOOKUP($G$14+$G$15-3,'CSO2001'!_xlnm.Print_Area,11))/(VLOOKUP($G$14-3,'CSO2001'!_xlnm.Print_Area,9)-VLOOKUP($G$14+$G$15-3,'CSO2001'!_xlnm.Print_Area,9))*$G$11)</f>
        <v>1.7702589207984876</v>
      </c>
      <c r="G26" s="68">
        <f>+IF($G$13="H",(VLOOKUP(D26,'CSO2001'!_xlnm.Print_Area,9)-VLOOKUP($G$14+$G$15,'CSO2001'!_xlnm.Print_Area,9))/VLOOKUP(D26,'CSO2001'!_xlnm.Print_Area,8),(VLOOKUP(D26-3,'CSO2001'!_xlnm.Print_Area,9)-VLOOKUP($G$14+$G$15-3,'CSO2001'!_xlnm.Print_Area,9))/VLOOKUP(D26-3,'CSO2001'!_xlnm.Print_Area,8))</f>
        <v>7.9639667209639207</v>
      </c>
      <c r="H26" s="68">
        <f>+IF(C26&gt;1,E26-F26*G26,0)</f>
        <v>0</v>
      </c>
      <c r="I26" s="57">
        <v>0</v>
      </c>
      <c r="J26" s="68">
        <f t="shared" ref="J26:J35" si="0">+I26*H26</f>
        <v>0</v>
      </c>
      <c r="K26" s="68">
        <f>J26*(VLOOKUP(D26,'CSO2001'!_xlnm.Print_Area,8)-VLOOKUP($G$14+$G$15,'CSO2001'!_xlnm.Print_Area,8))/(VLOOKUP(D26,'CSO2001'!_xlnm.Print_Area,11)-VLOOKUP($G$14+$G$15,'CSO2001'!_xlnm.Print_Area,11))</f>
        <v>0</v>
      </c>
      <c r="L26" s="25"/>
      <c r="M26" s="25"/>
      <c r="N26" s="25"/>
      <c r="O26" s="25"/>
    </row>
    <row r="27" spans="2:16" x14ac:dyDescent="0.2">
      <c r="B27" s="144"/>
      <c r="C27" s="26">
        <f t="shared" ref="C27:C35" si="1">+C26+1</f>
        <v>2</v>
      </c>
      <c r="D27" s="26">
        <f t="shared" ref="D27:D35" si="2">+$G$14+C27</f>
        <v>27</v>
      </c>
      <c r="E27" s="70">
        <f>+IF($G$13="H",(VLOOKUP(D27,'CSO2001'!_xlnm.Print_Area,11)-VLOOKUP($G$14+$G$15,'CSO2001'!_xlnm.Print_Area,11))/VLOOKUP(D27,'CSO2001'!_xlnm.Print_Area,8)*$G$11,(VLOOKUP(D27-3,'CSO2001'!_xlnm.Print_Area,11)-VLOOKUP($G$14+$G$15-3,'CSO2001'!_xlnm.Print_Area,11))/VLOOKUP(D27-3,'CSO2001'!_xlnm.Print_Area,8)*$G$11)</f>
        <v>12.867194043854299</v>
      </c>
      <c r="F27" s="68">
        <f>F26</f>
        <v>1.7702589207984876</v>
      </c>
      <c r="G27" s="68">
        <f>+IF($G$13="H",(VLOOKUP(D27,'CSO2001'!_xlnm.Print_Area,9)-VLOOKUP($G$14+$G$15,'CSO2001'!_xlnm.Print_Area,9))/VLOOKUP(D27,'CSO2001'!_xlnm.Print_Area,8),(VLOOKUP(D27-3,'CSO2001'!_xlnm.Print_Area,9)-VLOOKUP($G$14+$G$15-3,'CSO2001'!_xlnm.Print_Area,9))/VLOOKUP(D27-3,'CSO2001'!_xlnm.Print_Area,8))</f>
        <v>7.1857626091885018</v>
      </c>
      <c r="H27" s="68">
        <f>+IF(C27&gt;1,E27-F27*G27,0)</f>
        <v>0.14653368219813778</v>
      </c>
      <c r="I27" s="57">
        <v>0.95</v>
      </c>
      <c r="J27" s="68">
        <f t="shared" si="0"/>
        <v>0.13920699808823089</v>
      </c>
      <c r="K27" s="68">
        <f>J27*(VLOOKUP(D27,'CSO2001'!_xlnm.Print_Area,8)-VLOOKUP($G$14+$G$15,'CSO2001'!_xlnm.Print_Area,8))/(VLOOKUP(D27,'CSO2001'!_xlnm.Print_Area,11)-VLOOKUP($G$14+$G$15,'CSO2001'!_xlnm.Print_Area,11))</f>
        <v>2.4035077644149796</v>
      </c>
      <c r="L27" s="25"/>
      <c r="M27" s="25"/>
      <c r="N27" s="25"/>
      <c r="O27" s="25"/>
    </row>
    <row r="28" spans="2:16" x14ac:dyDescent="0.2">
      <c r="B28" s="144"/>
      <c r="C28" s="26">
        <f t="shared" si="1"/>
        <v>3</v>
      </c>
      <c r="D28" s="26">
        <f t="shared" si="2"/>
        <v>28</v>
      </c>
      <c r="E28" s="70">
        <f>+IF($G$13="H",(VLOOKUP(D28,'CSO2001'!_xlnm.Print_Area,11)-VLOOKUP($G$14+$G$15,'CSO2001'!_xlnm.Print_Area,11))/VLOOKUP(D28,'CSO2001'!_xlnm.Print_Area,8)*$G$11,(VLOOKUP(D28-3,'CSO2001'!_xlnm.Print_Area,11)-VLOOKUP($G$14+$G$15-3,'CSO2001'!_xlnm.Print_Area,11))/VLOOKUP(D28-3,'CSO2001'!_xlnm.Print_Area,8)*$G$11)</f>
        <v>11.402555448970414</v>
      </c>
      <c r="F28" s="68">
        <f t="shared" ref="F28:F35" si="3">F27</f>
        <v>1.7702589207984876</v>
      </c>
      <c r="G28" s="68">
        <f>+IF($G$13="H",(VLOOKUP(D28,'CSO2001'!_xlnm.Print_Area,9)-VLOOKUP($G$14+$G$15,'CSO2001'!_xlnm.Print_Area,9))/VLOOKUP(D28,'CSO2001'!_xlnm.Print_Area,8),(VLOOKUP(D28-3,'CSO2001'!_xlnm.Print_Area,9)-VLOOKUP($G$14+$G$15-3,'CSO2001'!_xlnm.Print_Area,9))/VLOOKUP(D28-3,'CSO2001'!_xlnm.Print_Area,8))</f>
        <v>6.3832849969785004</v>
      </c>
      <c r="H28" s="68">
        <f t="shared" ref="H28:H35" si="4">+IF(C28&gt;1,E28-F28*G28,0)</f>
        <v>0.10248823907007676</v>
      </c>
      <c r="I28" s="57">
        <v>0.95</v>
      </c>
      <c r="J28" s="68">
        <f t="shared" si="0"/>
        <v>9.7363827116572918E-2</v>
      </c>
      <c r="K28" s="68">
        <f>J28*(VLOOKUP(D28,'CSO2001'!_xlnm.Print_Area,8)-VLOOKUP($G$14+$G$15,'CSO2001'!_xlnm.Print_Area,8))/(VLOOKUP(D28,'CSO2001'!_xlnm.Print_Area,11)-VLOOKUP($G$14+$G$15,'CSO2001'!_xlnm.Print_Area,11))</f>
        <v>1.6849002887057465</v>
      </c>
      <c r="L28" s="25"/>
      <c r="M28" s="25"/>
      <c r="N28" s="25"/>
      <c r="O28" s="25"/>
      <c r="P28" s="25"/>
    </row>
    <row r="29" spans="2:16" x14ac:dyDescent="0.2">
      <c r="B29" s="144"/>
      <c r="C29" s="26">
        <f t="shared" si="1"/>
        <v>4</v>
      </c>
      <c r="D29" s="26">
        <f t="shared" si="2"/>
        <v>29</v>
      </c>
      <c r="E29" s="70">
        <f>+IF($G$13="H",(VLOOKUP(D29,'CSO2001'!_xlnm.Print_Area,11)-VLOOKUP($G$14+$G$15,'CSO2001'!_xlnm.Print_Area,11))/VLOOKUP(D29,'CSO2001'!_xlnm.Print_Area,8)*$G$11,(VLOOKUP(D29-3,'CSO2001'!_xlnm.Print_Area,11)-VLOOKUP($G$14+$G$15-3,'CSO2001'!_xlnm.Print_Area,11))/VLOOKUP(D29-3,'CSO2001'!_xlnm.Print_Area,8)*$G$11)</f>
        <v>9.8911483421359989</v>
      </c>
      <c r="F29" s="68">
        <f t="shared" si="3"/>
        <v>1.7702589207984876</v>
      </c>
      <c r="G29" s="68">
        <f>+IF($G$13="H",(VLOOKUP(D29,'CSO2001'!_xlnm.Print_Area,9)-VLOOKUP($G$14+$G$15,'CSO2001'!_xlnm.Print_Area,9))/VLOOKUP(D29,'CSO2001'!_xlnm.Print_Area,8),(VLOOKUP(D29-3,'CSO2001'!_xlnm.Print_Area,9)-VLOOKUP($G$14+$G$15-3,'CSO2001'!_xlnm.Print_Area,9))/VLOOKUP(D29-3,'CSO2001'!_xlnm.Print_Area,8))</f>
        <v>5.5551828491815218</v>
      </c>
      <c r="H29" s="68">
        <f t="shared" si="4"/>
        <v>5.7036346705650942E-2</v>
      </c>
      <c r="I29" s="57">
        <v>0.95</v>
      </c>
      <c r="J29" s="68">
        <f t="shared" si="0"/>
        <v>5.4184529370368391E-2</v>
      </c>
      <c r="K29" s="68">
        <f>J29*(VLOOKUP(D29,'CSO2001'!_xlnm.Print_Area,8)-VLOOKUP($G$14+$G$15,'CSO2001'!_xlnm.Print_Area,8))/(VLOOKUP(D29,'CSO2001'!_xlnm.Print_Area,11)-VLOOKUP($G$14+$G$15,'CSO2001'!_xlnm.Print_Area,11))</f>
        <v>0.94054622310849745</v>
      </c>
      <c r="L29" s="25"/>
      <c r="M29" s="25"/>
      <c r="N29" s="25"/>
      <c r="O29" s="25"/>
    </row>
    <row r="30" spans="2:16" x14ac:dyDescent="0.2">
      <c r="B30" s="144"/>
      <c r="C30" s="26">
        <f t="shared" si="1"/>
        <v>5</v>
      </c>
      <c r="D30" s="26">
        <f t="shared" si="2"/>
        <v>30</v>
      </c>
      <c r="E30" s="70">
        <f>+IF($G$13="H",(VLOOKUP(D30,'CSO2001'!_xlnm.Print_Area,11)-VLOOKUP($G$14+$G$15,'CSO2001'!_xlnm.Print_Area,11))/VLOOKUP(D30,'CSO2001'!_xlnm.Print_Area,8)*$G$11,(VLOOKUP(D30-3,'CSO2001'!_xlnm.Print_Area,11)-VLOOKUP($G$14+$G$15-3,'CSO2001'!_xlnm.Print_Area,11))/VLOOKUP(D30-3,'CSO2001'!_xlnm.Print_Area,8)*$G$11)</f>
        <v>8.3632712114291152</v>
      </c>
      <c r="F30" s="68">
        <f t="shared" si="3"/>
        <v>1.7702589207984876</v>
      </c>
      <c r="G30" s="68">
        <f>+IF($G$13="H",(VLOOKUP(D30,'CSO2001'!_xlnm.Print_Area,9)-VLOOKUP($G$14+$G$15,'CSO2001'!_xlnm.Print_Area,9))/VLOOKUP(D30,'CSO2001'!_xlnm.Print_Area,8),(VLOOKUP(D30-3,'CSO2001'!_xlnm.Print_Area,9)-VLOOKUP($G$14+$G$15-3,'CSO2001'!_xlnm.Print_Area,9))/VLOOKUP(D30-3,'CSO2001'!_xlnm.Print_Area,8))</f>
        <v>4.7004872311623016</v>
      </c>
      <c r="H30" s="68">
        <f t="shared" si="4"/>
        <v>4.219175836466782E-2</v>
      </c>
      <c r="I30" s="57">
        <v>0.95</v>
      </c>
      <c r="J30" s="68">
        <f t="shared" si="0"/>
        <v>4.0082170446434424E-2</v>
      </c>
      <c r="K30" s="68">
        <f>J30*(VLOOKUP(D30,'CSO2001'!_xlnm.Print_Area,8)-VLOOKUP($G$14+$G$15,'CSO2001'!_xlnm.Print_Area,8))/(VLOOKUP(D30,'CSO2001'!_xlnm.Print_Area,11)-VLOOKUP($G$14+$G$15,'CSO2001'!_xlnm.Print_Area,11))</f>
        <v>0.69623039359275241</v>
      </c>
      <c r="L30" s="25"/>
      <c r="M30" s="25"/>
      <c r="N30" s="25"/>
      <c r="O30" s="25"/>
    </row>
    <row r="31" spans="2:16" x14ac:dyDescent="0.2">
      <c r="B31" s="144"/>
      <c r="C31" s="26">
        <f t="shared" si="1"/>
        <v>6</v>
      </c>
      <c r="D31" s="26">
        <f t="shared" si="2"/>
        <v>31</v>
      </c>
      <c r="E31" s="70">
        <f>+IF($G$13="H",(VLOOKUP(D31,'CSO2001'!_xlnm.Print_Area,11)-VLOOKUP($G$14+$G$15,'CSO2001'!_xlnm.Print_Area,11))/VLOOKUP(D31,'CSO2001'!_xlnm.Print_Area,8)*$G$11,(VLOOKUP(D31-3,'CSO2001'!_xlnm.Print_Area,11)-VLOOKUP($G$14+$G$15-3,'CSO2001'!_xlnm.Print_Area,11))/VLOOKUP(D31-3,'CSO2001'!_xlnm.Print_Area,8)*$G$11)</f>
        <v>6.8025772486735283</v>
      </c>
      <c r="F31" s="68">
        <f t="shared" si="3"/>
        <v>1.7702589207984876</v>
      </c>
      <c r="G31" s="68">
        <f>+IF($G$13="H",(VLOOKUP(D31,'CSO2001'!_xlnm.Print_Area,9)-VLOOKUP($G$14+$G$15,'CSO2001'!_xlnm.Print_Area,9))/VLOOKUP(D31,'CSO2001'!_xlnm.Print_Area,8),(VLOOKUP(D31-3,'CSO2001'!_xlnm.Print_Area,9)-VLOOKUP($G$14+$G$15-3,'CSO2001'!_xlnm.Print_Area,9))/VLOOKUP(D31-3,'CSO2001'!_xlnm.Print_Area,8))</f>
        <v>3.8184667314152736</v>
      </c>
      <c r="H31" s="68">
        <f t="shared" si="4"/>
        <v>4.2902453613398173E-2</v>
      </c>
      <c r="I31" s="57">
        <v>0.95</v>
      </c>
      <c r="J31" s="68">
        <f t="shared" si="0"/>
        <v>4.0757330932728264E-2</v>
      </c>
      <c r="K31" s="68">
        <f>J31*(VLOOKUP(D31,'CSO2001'!_xlnm.Print_Area,8)-VLOOKUP($G$14+$G$15,'CSO2001'!_xlnm.Print_Area,8))/(VLOOKUP(D31,'CSO2001'!_xlnm.Print_Area,11)-VLOOKUP($G$14+$G$15,'CSO2001'!_xlnm.Print_Area,11))</f>
        <v>0.70711176909842499</v>
      </c>
      <c r="L31" s="25"/>
      <c r="M31" s="25"/>
      <c r="N31" s="25"/>
      <c r="O31" s="25"/>
    </row>
    <row r="32" spans="2:16" x14ac:dyDescent="0.2">
      <c r="B32" s="144"/>
      <c r="C32" s="26">
        <f t="shared" si="1"/>
        <v>7</v>
      </c>
      <c r="D32" s="26">
        <f t="shared" si="2"/>
        <v>32</v>
      </c>
      <c r="E32" s="70">
        <f>+IF($G$13="H",(VLOOKUP(D32,'CSO2001'!_xlnm.Print_Area,11)-VLOOKUP($G$14+$G$15,'CSO2001'!_xlnm.Print_Area,11))/VLOOKUP(D32,'CSO2001'!_xlnm.Print_Area,8)*$G$11,(VLOOKUP(D32-3,'CSO2001'!_xlnm.Print_Area,11)-VLOOKUP($G$14+$G$15-3,'CSO2001'!_xlnm.Print_Area,11))/VLOOKUP(D32-3,'CSO2001'!_xlnm.Print_Area,8)*$G$11)</f>
        <v>5.2080707580643617</v>
      </c>
      <c r="F32" s="68">
        <f t="shared" si="3"/>
        <v>1.7702589207984876</v>
      </c>
      <c r="G32" s="68">
        <f>+IF($G$13="H",(VLOOKUP(D32,'CSO2001'!_xlnm.Print_Area,9)-VLOOKUP($G$14+$G$15,'CSO2001'!_xlnm.Print_Area,9))/VLOOKUP(D32,'CSO2001'!_xlnm.Print_Area,8),(VLOOKUP(D32-3,'CSO2001'!_xlnm.Print_Area,9)-VLOOKUP($G$14+$G$15-3,'CSO2001'!_xlnm.Print_Area,9))/VLOOKUP(D32-3,'CSO2001'!_xlnm.Print_Area,8))</f>
        <v>2.9082789016118378</v>
      </c>
      <c r="H32" s="68">
        <f t="shared" si="4"/>
        <v>5.9664088315979136E-2</v>
      </c>
      <c r="I32" s="57">
        <v>0.95</v>
      </c>
      <c r="J32" s="68">
        <f t="shared" si="0"/>
        <v>5.6680883900180175E-2</v>
      </c>
      <c r="K32" s="68">
        <f>J32*(VLOOKUP(D32,'CSO2001'!_xlnm.Print_Area,8)-VLOOKUP($G$14+$G$15,'CSO2001'!_xlnm.Print_Area,8))/(VLOOKUP(D32,'CSO2001'!_xlnm.Print_Area,11)-VLOOKUP($G$14+$G$15,'CSO2001'!_xlnm.Print_Area,11))</f>
        <v>0.97857240533671619</v>
      </c>
    </row>
    <row r="33" spans="2:11" x14ac:dyDescent="0.2">
      <c r="B33" s="144"/>
      <c r="C33" s="26">
        <f t="shared" si="1"/>
        <v>8</v>
      </c>
      <c r="D33" s="26">
        <f t="shared" si="2"/>
        <v>33</v>
      </c>
      <c r="E33" s="70">
        <f>+IF($G$13="H",(VLOOKUP(D33,'CSO2001'!_xlnm.Print_Area,11)-VLOOKUP($G$14+$G$15,'CSO2001'!_xlnm.Print_Area,11))/VLOOKUP(D33,'CSO2001'!_xlnm.Print_Area,8)*$G$11,(VLOOKUP(D33-3,'CSO2001'!_xlnm.Print_Area,11)-VLOOKUP($G$14+$G$15-3,'CSO2001'!_xlnm.Print_Area,11))/VLOOKUP(D33-3,'CSO2001'!_xlnm.Print_Area,8)*$G$11)</f>
        <v>3.562754340654176</v>
      </c>
      <c r="F33" s="68">
        <f t="shared" si="3"/>
        <v>1.7702589207984876</v>
      </c>
      <c r="G33" s="68">
        <f>+IF($G$13="H",(VLOOKUP(D33,'CSO2001'!_xlnm.Print_Area,9)-VLOOKUP($G$14+$G$15,'CSO2001'!_xlnm.Print_Area,9))/VLOOKUP(D33,'CSO2001'!_xlnm.Print_Area,8),(VLOOKUP(D33-3,'CSO2001'!_xlnm.Print_Area,9)-VLOOKUP($G$14+$G$15-3,'CSO2001'!_xlnm.Print_Area,9))/VLOOKUP(D33-3,'CSO2001'!_xlnm.Print_Area,8))</f>
        <v>1.9690873786407765</v>
      </c>
      <c r="H33" s="68">
        <f t="shared" si="4"/>
        <v>7.6959842783632215E-2</v>
      </c>
      <c r="I33" s="57">
        <v>0.95</v>
      </c>
      <c r="J33" s="68">
        <f t="shared" si="0"/>
        <v>7.3111850644450596E-2</v>
      </c>
      <c r="K33" s="68">
        <f>J33*(VLOOKUP(D33,'CSO2001'!_xlnm.Print_Area,8)-VLOOKUP($G$14+$G$15,'CSO2001'!_xlnm.Print_Area,8))/(VLOOKUP(D33,'CSO2001'!_xlnm.Print_Area,11)-VLOOKUP($G$14+$G$15,'CSO2001'!_xlnm.Print_Area,11))</f>
        <v>1.2500426218000795</v>
      </c>
    </row>
    <row r="34" spans="2:11" x14ac:dyDescent="0.2">
      <c r="B34" s="144"/>
      <c r="C34" s="26">
        <f t="shared" si="1"/>
        <v>9</v>
      </c>
      <c r="D34" s="26">
        <f t="shared" si="2"/>
        <v>34</v>
      </c>
      <c r="E34" s="70">
        <f>+IF($G$13="H",(VLOOKUP(D34,'CSO2001'!_xlnm.Print_Area,11)-VLOOKUP($G$14+$G$15,'CSO2001'!_xlnm.Print_Area,11))/VLOOKUP(D34,'CSO2001'!_xlnm.Print_Area,8)*$G$11,(VLOOKUP(D34-3,'CSO2001'!_xlnm.Print_Area,11)-VLOOKUP($G$14+$G$15-3,'CSO2001'!_xlnm.Print_Area,11))/VLOOKUP(D34-3,'CSO2001'!_xlnm.Print_Area,8)*$G$11)</f>
        <v>1.8330097087378543</v>
      </c>
      <c r="F34" s="68">
        <f t="shared" si="3"/>
        <v>1.7702589207984876</v>
      </c>
      <c r="G34" s="68">
        <f>+IF($G$13="H",(VLOOKUP(D34,'CSO2001'!_xlnm.Print_Area,9)-VLOOKUP($G$14+$G$15,'CSO2001'!_xlnm.Print_Area,9))/VLOOKUP(D34,'CSO2001'!_xlnm.Print_Area,8),(VLOOKUP(D34-3,'CSO2001'!_xlnm.Print_Area,9)-VLOOKUP($G$14+$G$15-3,'CSO2001'!_xlnm.Print_Area,9))/VLOOKUP(D34-3,'CSO2001'!_xlnm.Print_Area,8))</f>
        <v>0.99999999999999856</v>
      </c>
      <c r="H34" s="68">
        <f t="shared" si="4"/>
        <v>6.275078793936939E-2</v>
      </c>
      <c r="I34" s="57">
        <v>0.95</v>
      </c>
      <c r="J34" s="68">
        <f t="shared" si="0"/>
        <v>5.9613248542400916E-2</v>
      </c>
      <c r="K34" s="68">
        <f>J34*(VLOOKUP(D34,'CSO2001'!_xlnm.Print_Area,8)-VLOOKUP($G$14+$G$15,'CSO2001'!_xlnm.Print_Area,8))/(VLOOKUP(D34,'CSO2001'!_xlnm.Print_Area,11)-VLOOKUP($G$14+$G$15,'CSO2001'!_xlnm.Print_Area,11))</f>
        <v>1.0068576639407276</v>
      </c>
    </row>
    <row r="35" spans="2:11" x14ac:dyDescent="0.2">
      <c r="B35" s="144"/>
      <c r="C35" s="26">
        <f t="shared" si="1"/>
        <v>10</v>
      </c>
      <c r="D35" s="26">
        <f t="shared" si="2"/>
        <v>35</v>
      </c>
      <c r="E35" s="70">
        <f>+IF($G$13="H",(VLOOKUP(D35,'CSO2001'!_xlnm.Print_Area,11)-VLOOKUP($G$14+$G$15,'CSO2001'!_xlnm.Print_Area,11))/VLOOKUP(D35,'CSO2001'!_xlnm.Print_Area,8)*$G$11,(VLOOKUP(D35-3,'CSO2001'!_xlnm.Print_Area,11)-VLOOKUP($G$14+$G$15-3,'CSO2001'!_xlnm.Print_Area,11))/VLOOKUP(D35-3,'CSO2001'!_xlnm.Print_Area,8)*$G$11)</f>
        <v>0</v>
      </c>
      <c r="F35" s="68">
        <f t="shared" si="3"/>
        <v>1.7702589207984876</v>
      </c>
      <c r="G35" s="68">
        <f>+IF($G$13="H",(VLOOKUP(D35,'CSO2001'!_xlnm.Print_Area,9)-VLOOKUP($G$14+$G$15,'CSO2001'!_xlnm.Print_Area,9))/VLOOKUP(D35,'CSO2001'!_xlnm.Print_Area,8),(VLOOKUP(D35-3,'CSO2001'!_xlnm.Print_Area,9)-VLOOKUP($G$14+$G$15-3,'CSO2001'!_xlnm.Print_Area,9))/VLOOKUP(D35-3,'CSO2001'!_xlnm.Print_Area,8))</f>
        <v>0</v>
      </c>
      <c r="H35" s="68">
        <f t="shared" si="4"/>
        <v>0</v>
      </c>
      <c r="I35" s="57">
        <v>0.95</v>
      </c>
      <c r="J35" s="68">
        <f t="shared" si="0"/>
        <v>0</v>
      </c>
      <c r="K35" s="68" t="e">
        <f>J35*(VLOOKUP(D35,'CSO2001'!_xlnm.Print_Area,8)-VLOOKUP($G$14+$G$15,'CSO2001'!_xlnm.Print_Area,8))/(VLOOKUP(D35,'CSO2001'!_xlnm.Print_Area,11)-VLOOKUP($G$14+$G$15,'CSO2001'!_xlnm.Print_Area,11))</f>
        <v>#DIV/0!</v>
      </c>
    </row>
  </sheetData>
  <mergeCells count="7">
    <mergeCell ref="B26:B35"/>
    <mergeCell ref="B5:Q5"/>
    <mergeCell ref="B6:O6"/>
    <mergeCell ref="C15:E15"/>
    <mergeCell ref="B21:G21"/>
    <mergeCell ref="B22:G22"/>
    <mergeCell ref="L24:O24"/>
  </mergeCells>
  <dataValidations disablePrompts="1" count="1">
    <dataValidation allowBlank="1" showInputMessage="1" showErrorMessage="1" prompt="CELDA PROTEGIDA!!!!" sqref="G24" xr:uid="{00000000-0002-0000-0A00-000000000000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21" r:id="rId3">
          <objectPr defaultSize="0" autoPict="0" r:id="rId4">
            <anchor moveWithCells="1" sizeWithCells="1">
              <from>
                <xdr:col>3</xdr:col>
                <xdr:colOff>1219200</xdr:colOff>
                <xdr:row>21</xdr:row>
                <xdr:rowOff>142875</xdr:rowOff>
              </from>
              <to>
                <xdr:col>5</xdr:col>
                <xdr:colOff>28575</xdr:colOff>
                <xdr:row>25</xdr:row>
                <xdr:rowOff>114300</xdr:rowOff>
              </to>
            </anchor>
          </objectPr>
        </oleObject>
      </mc:Choice>
      <mc:Fallback>
        <oleObject progId="Equation.3" shapeId="30721" r:id="rId3"/>
      </mc:Fallback>
    </mc:AlternateContent>
    <mc:AlternateContent xmlns:mc="http://schemas.openxmlformats.org/markup-compatibility/2006">
      <mc:Choice Requires="x14">
        <oleObject progId="Equation.3" shapeId="30722" r:id="rId5">
          <objectPr defaultSize="0" autoPict="0" r:id="rId6">
            <anchor moveWithCells="1" sizeWithCells="1">
              <from>
                <xdr:col>5</xdr:col>
                <xdr:colOff>66675</xdr:colOff>
                <xdr:row>23</xdr:row>
                <xdr:rowOff>114300</xdr:rowOff>
              </from>
              <to>
                <xdr:col>5</xdr:col>
                <xdr:colOff>1028700</xdr:colOff>
                <xdr:row>25</xdr:row>
                <xdr:rowOff>9525</xdr:rowOff>
              </to>
            </anchor>
          </objectPr>
        </oleObject>
      </mc:Choice>
      <mc:Fallback>
        <oleObject progId="Equation.3" shapeId="30722" r:id="rId5"/>
      </mc:Fallback>
    </mc:AlternateContent>
    <mc:AlternateContent xmlns:mc="http://schemas.openxmlformats.org/markup-compatibility/2006">
      <mc:Choice Requires="x14">
        <oleObject progId="Equation.3" shapeId="30723" r:id="rId7">
          <objectPr defaultSize="0" autoPict="0" r:id="rId8">
            <anchor moveWithCells="1" sizeWithCells="1">
              <from>
                <xdr:col>6</xdr:col>
                <xdr:colOff>28575</xdr:colOff>
                <xdr:row>23</xdr:row>
                <xdr:rowOff>47625</xdr:rowOff>
              </from>
              <to>
                <xdr:col>6</xdr:col>
                <xdr:colOff>1800225</xdr:colOff>
                <xdr:row>25</xdr:row>
                <xdr:rowOff>28575</xdr:rowOff>
              </to>
            </anchor>
          </objectPr>
        </oleObject>
      </mc:Choice>
      <mc:Fallback>
        <oleObject progId="Equation.3" shapeId="30723" r:id="rId7"/>
      </mc:Fallback>
    </mc:AlternateContent>
    <mc:AlternateContent xmlns:mc="http://schemas.openxmlformats.org/markup-compatibility/2006">
      <mc:Choice Requires="x14">
        <oleObject progId="Equation.3" shapeId="30724" r:id="rId9">
          <objectPr defaultSize="0" autoPict="0" r:id="rId10">
            <anchor moveWithCells="1" sizeWithCells="1">
              <from>
                <xdr:col>4</xdr:col>
                <xdr:colOff>114300</xdr:colOff>
                <xdr:row>16</xdr:row>
                <xdr:rowOff>104775</xdr:rowOff>
              </from>
              <to>
                <xdr:col>7</xdr:col>
                <xdr:colOff>161925</xdr:colOff>
                <xdr:row>21</xdr:row>
                <xdr:rowOff>57150</xdr:rowOff>
              </to>
            </anchor>
          </objectPr>
        </oleObject>
      </mc:Choice>
      <mc:Fallback>
        <oleObject progId="Equation.3" shapeId="30724" r:id="rId9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Q40"/>
  <sheetViews>
    <sheetView topLeftCell="A27" workbookViewId="0">
      <selection activeCell="E8" sqref="E8"/>
    </sheetView>
  </sheetViews>
  <sheetFormatPr defaultColWidth="11.42578125" defaultRowHeight="12.75" x14ac:dyDescent="0.2"/>
  <cols>
    <col min="1" max="1" width="10.28515625" customWidth="1"/>
    <col min="2" max="2" width="3.5703125" customWidth="1"/>
    <col min="3" max="3" width="20.28515625" customWidth="1"/>
    <col min="4" max="4" width="21.85546875" customWidth="1"/>
    <col min="5" max="5" width="27.140625" customWidth="1"/>
    <col min="6" max="6" width="16.85546875" customWidth="1"/>
    <col min="7" max="7" width="29.42578125" customWidth="1"/>
    <col min="8" max="8" width="13.28515625" customWidth="1"/>
    <col min="9" max="9" width="4.7109375" customWidth="1"/>
    <col min="10" max="10" width="19.42578125" customWidth="1"/>
    <col min="11" max="11" width="24.5703125" customWidth="1"/>
    <col min="12" max="12" width="13.7109375" hidden="1" customWidth="1"/>
    <col min="13" max="13" width="12.85546875" hidden="1" customWidth="1"/>
    <col min="14" max="14" width="13" hidden="1" customWidth="1"/>
    <col min="15" max="15" width="0.42578125" customWidth="1"/>
    <col min="16" max="16" width="2" hidden="1" customWidth="1"/>
    <col min="17" max="17" width="11.42578125" hidden="1" customWidth="1"/>
  </cols>
  <sheetData>
    <row r="3" spans="2:17" x14ac:dyDescent="0.2">
      <c r="J3" s="1" t="s">
        <v>48</v>
      </c>
    </row>
    <row r="4" spans="2:17" x14ac:dyDescent="0.2">
      <c r="O4" s="1"/>
    </row>
    <row r="5" spans="2:17" ht="18" x14ac:dyDescent="0.25">
      <c r="B5" s="173" t="s">
        <v>65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2:17" ht="15" x14ac:dyDescent="0.25">
      <c r="B6" s="174" t="s">
        <v>35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2:17" ht="15.75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7" ht="15.75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10" spans="2:17" ht="6" customHeight="1" x14ac:dyDescent="0.2"/>
    <row r="11" spans="2:17" ht="18" x14ac:dyDescent="0.25">
      <c r="B11" s="50"/>
      <c r="C11" s="51" t="s">
        <v>25</v>
      </c>
      <c r="D11" s="51"/>
      <c r="E11" s="51"/>
      <c r="F11" s="51" t="s">
        <v>26</v>
      </c>
      <c r="G11" s="52">
        <v>1000</v>
      </c>
    </row>
    <row r="12" spans="2:17" ht="0.75" customHeight="1" x14ac:dyDescent="0.25">
      <c r="B12" s="46"/>
      <c r="C12" s="46"/>
      <c r="D12" s="46"/>
      <c r="E12" s="46"/>
      <c r="F12" s="46"/>
      <c r="G12" s="40">
        <v>1</v>
      </c>
      <c r="H12" s="41" t="s">
        <v>17</v>
      </c>
    </row>
    <row r="13" spans="2:17" ht="18" x14ac:dyDescent="0.25">
      <c r="B13" s="50"/>
      <c r="C13" s="53" t="s">
        <v>27</v>
      </c>
      <c r="D13" s="50"/>
      <c r="E13" s="50"/>
      <c r="F13" s="51" t="s">
        <v>26</v>
      </c>
      <c r="G13" s="40" t="s">
        <v>52</v>
      </c>
      <c r="H13" s="41"/>
    </row>
    <row r="14" spans="2:17" ht="18" x14ac:dyDescent="0.25">
      <c r="B14" s="50"/>
      <c r="C14" s="53" t="s">
        <v>28</v>
      </c>
      <c r="D14" s="50"/>
      <c r="E14" s="50"/>
      <c r="F14" s="51" t="s">
        <v>26</v>
      </c>
      <c r="G14" s="40">
        <v>25</v>
      </c>
      <c r="H14" s="41" t="s">
        <v>17</v>
      </c>
      <c r="I14" s="82" t="s">
        <v>78</v>
      </c>
    </row>
    <row r="15" spans="2:17" ht="18" x14ac:dyDescent="0.25">
      <c r="B15" s="46"/>
      <c r="C15" s="175" t="s">
        <v>33</v>
      </c>
      <c r="D15" s="175"/>
      <c r="E15" s="175"/>
      <c r="F15" s="51"/>
      <c r="G15" s="88">
        <v>15</v>
      </c>
      <c r="H15" s="40"/>
      <c r="I15" s="82" t="s">
        <v>79</v>
      </c>
    </row>
    <row r="16" spans="2:17" ht="18" x14ac:dyDescent="0.25">
      <c r="B16" s="46"/>
      <c r="C16" s="54" t="s">
        <v>34</v>
      </c>
      <c r="D16" s="46"/>
      <c r="E16" s="46"/>
      <c r="F16" s="46"/>
      <c r="G16" s="46"/>
      <c r="H16" s="40"/>
      <c r="I16" s="82" t="s">
        <v>80</v>
      </c>
    </row>
    <row r="17" spans="2:16" ht="18" x14ac:dyDescent="0.25">
      <c r="B17" s="46"/>
      <c r="C17" s="46"/>
      <c r="D17" s="46"/>
      <c r="E17" s="46"/>
      <c r="F17" s="46"/>
      <c r="H17" s="40"/>
      <c r="I17" s="41"/>
    </row>
    <row r="18" spans="2:16" ht="18" x14ac:dyDescent="0.25">
      <c r="B18" s="46"/>
      <c r="C18" s="46"/>
      <c r="D18" s="46"/>
      <c r="E18" s="46"/>
      <c r="F18" s="46"/>
      <c r="G18" s="46"/>
      <c r="H18" s="40"/>
      <c r="I18" s="41"/>
    </row>
    <row r="19" spans="2:16" ht="18" x14ac:dyDescent="0.25">
      <c r="B19" s="46"/>
      <c r="C19" s="46" t="s">
        <v>29</v>
      </c>
      <c r="D19" s="46"/>
      <c r="F19" s="46"/>
      <c r="G19" s="46"/>
      <c r="H19" s="40"/>
      <c r="I19" s="41"/>
    </row>
    <row r="20" spans="2:16" ht="18" x14ac:dyDescent="0.25">
      <c r="B20" s="46"/>
      <c r="C20" s="46"/>
      <c r="D20" s="46"/>
      <c r="E20" s="46"/>
      <c r="F20" s="46"/>
      <c r="G20" s="46"/>
      <c r="H20" s="40"/>
      <c r="I20" s="41"/>
    </row>
    <row r="21" spans="2:16" x14ac:dyDescent="0.2">
      <c r="B21" s="176"/>
      <c r="C21" s="176"/>
      <c r="D21" s="176"/>
      <c r="E21" s="176"/>
      <c r="F21" s="176"/>
      <c r="G21" s="176"/>
      <c r="H21" s="55"/>
      <c r="I21" s="55"/>
      <c r="J21" s="69"/>
      <c r="K21" s="55"/>
    </row>
    <row r="22" spans="2:16" x14ac:dyDescent="0.2">
      <c r="B22" s="177"/>
      <c r="C22" s="177"/>
      <c r="D22" s="177"/>
      <c r="E22" s="177"/>
      <c r="F22" s="177"/>
      <c r="G22" s="177"/>
      <c r="H22" s="30"/>
      <c r="I22" s="30"/>
      <c r="J22" s="30"/>
      <c r="K22" s="30"/>
    </row>
    <row r="23" spans="2:16" x14ac:dyDescent="0.2">
      <c r="G23" s="45">
        <v>0.4</v>
      </c>
      <c r="H23" s="30"/>
      <c r="I23" s="30"/>
      <c r="J23" s="30"/>
      <c r="K23" s="30"/>
      <c r="L23" s="31"/>
      <c r="M23" s="31"/>
      <c r="N23" s="31"/>
      <c r="O23" s="31"/>
    </row>
    <row r="24" spans="2:16" ht="18" x14ac:dyDescent="0.25">
      <c r="F24" s="2"/>
      <c r="G24" s="39"/>
      <c r="K24" s="49"/>
      <c r="L24" s="177"/>
      <c r="M24" s="177"/>
      <c r="N24" s="177"/>
      <c r="O24" s="177"/>
      <c r="P24" s="32"/>
    </row>
    <row r="25" spans="2:16" ht="54.75" customHeight="1" x14ac:dyDescent="0.3">
      <c r="B25" s="56"/>
      <c r="C25" s="58" t="s">
        <v>30</v>
      </c>
      <c r="D25" s="58" t="s">
        <v>31</v>
      </c>
      <c r="E25" s="58"/>
      <c r="F25" s="58"/>
      <c r="G25" s="58"/>
      <c r="H25" s="58" t="s">
        <v>36</v>
      </c>
      <c r="I25" s="59"/>
      <c r="J25" s="59" t="s">
        <v>32</v>
      </c>
      <c r="K25" s="60" t="s">
        <v>37</v>
      </c>
      <c r="L25" s="56"/>
      <c r="M25" s="56"/>
      <c r="N25" s="56"/>
      <c r="O25" s="56"/>
      <c r="P25" s="32"/>
    </row>
    <row r="26" spans="2:16" x14ac:dyDescent="0.2">
      <c r="B26" s="144">
        <f>G14</f>
        <v>25</v>
      </c>
      <c r="C26" s="26">
        <v>1</v>
      </c>
      <c r="D26" s="26">
        <f>$G$14+C26</f>
        <v>26</v>
      </c>
      <c r="E26" s="70">
        <f>+IF($G$13="H",(VLOOKUP(D26,'CSO2001'!_xlnm.Print_Area,11)-VLOOKUP($G$14+$G$15,'CSO2001'!_xlnm.Print_Area,11))/VLOOKUP(D26,'CSO2001'!_xlnm.Print_Area,8)*$G$11,(VLOOKUP(D26-3,'CSO2001'!_xlnm.Print_Area,11)-VLOOKUP($G$14+$G$15-3,'CSO2001'!_xlnm.Print_Area,11))/VLOOKUP(D26-3,'CSO2001'!_xlnm.Print_Area,8)*$G$11)</f>
        <v>21.674810325328757</v>
      </c>
      <c r="F26" s="68">
        <f>+IF($G$13="H",(VLOOKUP(G14,'CSO2001'!_xlnm.Print_Area,11)-VLOOKUP($G$14+$G$15,'CSO2001'!_xlnm.Print_Area,11))/(VLOOKUP(G14,'CSO2001'!_xlnm.Print_Area,9)-VLOOKUP($G$14+$G$15,'CSO2001'!_xlnm.Print_Area,9))*$G$11,(VLOOKUP($G$14-3,'CSO2001'!_xlnm.Print_Area,11)-VLOOKUP($G$14+$G$15-3,'CSO2001'!_xlnm.Print_Area,11))/(VLOOKUP($G$14-3,'CSO2001'!_xlnm.Print_Area,9)-VLOOKUP($G$14+$G$15-3,'CSO2001'!_xlnm.Print_Area,9))*$G$11)</f>
        <v>1.865578528388399</v>
      </c>
      <c r="G26" s="68">
        <f>+IF($G$13="H",(VLOOKUP(D26,'CSO2001'!_xlnm.Print_Area,9)-VLOOKUP($G$14+$G$15,'CSO2001'!_xlnm.Print_Area,9))/VLOOKUP(D26,'CSO2001'!_xlnm.Print_Area,8),(VLOOKUP(D26-3,'CSO2001'!_xlnm.Print_Area,9)-VLOOKUP($G$14+$G$15-3,'CSO2001'!_xlnm.Print_Area,9))/VLOOKUP(D26-3,'CSO2001'!_xlnm.Print_Area,8))</f>
        <v>11.50576336331287</v>
      </c>
      <c r="H26" s="68">
        <f>+IF(C26&gt;1,E26-F26*G26,0)</f>
        <v>0</v>
      </c>
      <c r="I26" s="57">
        <v>0</v>
      </c>
      <c r="J26" s="68">
        <f>+I26*H26</f>
        <v>0</v>
      </c>
      <c r="K26" s="68">
        <f>J26*(VLOOKUP(D26,'CSO2001'!_xlnm.Print_Area,8)-VLOOKUP($G$14+$G$15,'CSO2001'!_xlnm.Print_Area,8))/(VLOOKUP(D26,'CSO2001'!_xlnm.Print_Area,11)-VLOOKUP($G$14+$G$15,'CSO2001'!_xlnm.Print_Area,11))</f>
        <v>0</v>
      </c>
      <c r="L26" s="25"/>
      <c r="M26" s="25"/>
      <c r="N26" s="25"/>
      <c r="O26" s="25"/>
    </row>
    <row r="27" spans="2:16" x14ac:dyDescent="0.2">
      <c r="B27" s="144"/>
      <c r="C27" s="26">
        <f t="shared" ref="C27:C40" si="0">+C26+1</f>
        <v>2</v>
      </c>
      <c r="D27" s="26">
        <f>+$G$14+C27</f>
        <v>27</v>
      </c>
      <c r="E27" s="70">
        <f>+IF($G$13="H",(VLOOKUP(D27,'CSO2001'!_xlnm.Print_Area,11)-VLOOKUP($G$14+$G$15,'CSO2001'!_xlnm.Print_Area,11))/VLOOKUP(D27,'CSO2001'!_xlnm.Print_Area,8)*$G$11,(VLOOKUP(D27-3,'CSO2001'!_xlnm.Print_Area,11)-VLOOKUP($G$14+$G$15-3,'CSO2001'!_xlnm.Print_Area,11))/VLOOKUP(D27-3,'CSO2001'!_xlnm.Print_Area,8)*$G$11)</f>
        <v>20.569915924425192</v>
      </c>
      <c r="F27" s="68">
        <f>F26</f>
        <v>1.865578528388399</v>
      </c>
      <c r="G27" s="68">
        <f>+IF($G$13="H",(VLOOKUP(D27,'CSO2001'!_xlnm.Print_Area,9)-VLOOKUP($G$14+$G$15,'CSO2001'!_xlnm.Print_Area,9))/VLOOKUP(D27,'CSO2001'!_xlnm.Print_Area,8),(VLOOKUP(D27-3,'CSO2001'!_xlnm.Print_Area,9)-VLOOKUP($G$14+$G$15-3,'CSO2001'!_xlnm.Print_Area,9))/VLOOKUP(D27-3,'CSO2001'!_xlnm.Print_Area,8))</f>
        <v>10.840362193262582</v>
      </c>
      <c r="H27" s="68">
        <f>+IF(C27&gt;1,E27-F27*G27,0)</f>
        <v>0.34636897672114841</v>
      </c>
      <c r="I27" s="57">
        <v>0.95</v>
      </c>
      <c r="J27" s="68">
        <f>+I27*H27</f>
        <v>0.32905052788509098</v>
      </c>
      <c r="K27" s="68">
        <f>J27*(VLOOKUP(D27,'CSO2001'!_xlnm.Print_Area,8)-VLOOKUP($G$14+$G$15,'CSO2001'!_xlnm.Print_Area,8))/(VLOOKUP(D27,'CSO2001'!_xlnm.Print_Area,11)-VLOOKUP($G$14+$G$15,'CSO2001'!_xlnm.Print_Area,11))</f>
        <v>5.3798240858920732</v>
      </c>
      <c r="L27" s="25"/>
      <c r="M27" s="25"/>
      <c r="N27" s="25"/>
      <c r="O27" s="25"/>
    </row>
    <row r="28" spans="2:16" x14ac:dyDescent="0.2">
      <c r="B28" s="144"/>
      <c r="C28" s="26">
        <f t="shared" si="0"/>
        <v>3</v>
      </c>
      <c r="D28" s="26">
        <f>+$G$14+C28</f>
        <v>28</v>
      </c>
      <c r="E28" s="70">
        <f>+IF($G$13="H",(VLOOKUP(D28,'CSO2001'!_xlnm.Print_Area,11)-VLOOKUP($G$14+$G$15,'CSO2001'!_xlnm.Print_Area,11))/VLOOKUP(D28,'CSO2001'!_xlnm.Print_Area,8)*$G$11,(VLOOKUP(D28-3,'CSO2001'!_xlnm.Print_Area,11)-VLOOKUP($G$14+$G$15-3,'CSO2001'!_xlnm.Print_Area,11))/VLOOKUP(D28-3,'CSO2001'!_xlnm.Print_Area,8)*$G$11)</f>
        <v>19.351238921418862</v>
      </c>
      <c r="F28" s="68">
        <f t="shared" ref="F28:F40" si="1">F27</f>
        <v>1.865578528388399</v>
      </c>
      <c r="G28" s="68">
        <f>+IF($G$13="H",(VLOOKUP(D28,'CSO2001'!_xlnm.Print_Area,9)-VLOOKUP($G$14+$G$15,'CSO2001'!_xlnm.Print_Area,9))/VLOOKUP(D28,'CSO2001'!_xlnm.Print_Area,8),(VLOOKUP(D28-3,'CSO2001'!_xlnm.Print_Area,9)-VLOOKUP($G$14+$G$15-3,'CSO2001'!_xlnm.Print_Area,9))/VLOOKUP(D28-3,'CSO2001'!_xlnm.Print_Area,8))</f>
        <v>10.154582437383239</v>
      </c>
      <c r="H28" s="68">
        <f t="shared" ref="H28:H40" si="2">+IF(C28&gt;1,E28-F28*G28,0)</f>
        <v>0.4070679614867565</v>
      </c>
      <c r="I28" s="57">
        <v>0.95</v>
      </c>
      <c r="J28" s="68">
        <f>+I28*H28</f>
        <v>0.38671456341241867</v>
      </c>
      <c r="K28" s="68">
        <f>J28*(VLOOKUP(D28,'CSO2001'!_xlnm.Print_Area,8)-VLOOKUP($G$14+$G$15,'CSO2001'!_xlnm.Print_Area,8))/(VLOOKUP(D28,'CSO2001'!_xlnm.Print_Area,11)-VLOOKUP($G$14+$G$15,'CSO2001'!_xlnm.Print_Area,11))</f>
        <v>6.2972639741041787</v>
      </c>
      <c r="L28" s="25"/>
      <c r="M28" s="25"/>
      <c r="N28" s="25"/>
      <c r="O28" s="25"/>
      <c r="P28" s="25"/>
    </row>
    <row r="29" spans="2:16" x14ac:dyDescent="0.2">
      <c r="B29" s="144"/>
      <c r="C29" s="26">
        <f t="shared" si="0"/>
        <v>4</v>
      </c>
      <c r="D29" s="26">
        <f>+$G$14+C29</f>
        <v>29</v>
      </c>
      <c r="E29" s="70">
        <f>+IF($G$13="H",(VLOOKUP(D29,'CSO2001'!_xlnm.Print_Area,11)-VLOOKUP($G$14+$G$15,'CSO2001'!_xlnm.Print_Area,11))/VLOOKUP(D29,'CSO2001'!_xlnm.Print_Area,8)*$G$11,(VLOOKUP(D29-3,'CSO2001'!_xlnm.Print_Area,11)-VLOOKUP($G$14+$G$15-3,'CSO2001'!_xlnm.Print_Area,11))/VLOOKUP(D29-3,'CSO2001'!_xlnm.Print_Area,8)*$G$11)</f>
        <v>18.093647396988583</v>
      </c>
      <c r="F29" s="68">
        <f t="shared" si="1"/>
        <v>1.865578528388399</v>
      </c>
      <c r="G29" s="68">
        <f>+IF($G$13="H",(VLOOKUP(D29,'CSO2001'!_xlnm.Print_Area,9)-VLOOKUP($G$14+$G$15,'CSO2001'!_xlnm.Print_Area,9))/VLOOKUP(D29,'CSO2001'!_xlnm.Print_Area,8),(VLOOKUP(D29-3,'CSO2001'!_xlnm.Print_Area,9)-VLOOKUP($G$14+$G$15-3,'CSO2001'!_xlnm.Print_Area,9))/VLOOKUP(D29-3,'CSO2001'!_xlnm.Print_Area,8))</f>
        <v>9.4469045157582343</v>
      </c>
      <c r="H29" s="68">
        <f t="shared" si="2"/>
        <v>0.46970517265461709</v>
      </c>
      <c r="I29" s="57">
        <v>0.95</v>
      </c>
      <c r="J29" s="68">
        <f>+I29*H29</f>
        <v>0.44621991402188621</v>
      </c>
      <c r="K29" s="68">
        <f>J29*(VLOOKUP(D29,'CSO2001'!_xlnm.Print_Area,8)-VLOOKUP($G$14+$G$15,'CSO2001'!_xlnm.Print_Area,8))/(VLOOKUP(D29,'CSO2001'!_xlnm.Print_Area,11)-VLOOKUP($G$14+$G$15,'CSO2001'!_xlnm.Print_Area,11))</f>
        <v>7.2319468820150634</v>
      </c>
      <c r="L29" s="25"/>
      <c r="M29" s="25"/>
      <c r="N29" s="25"/>
      <c r="O29" s="25"/>
    </row>
    <row r="30" spans="2:16" x14ac:dyDescent="0.2">
      <c r="B30" s="144"/>
      <c r="C30" s="26">
        <f t="shared" si="0"/>
        <v>5</v>
      </c>
      <c r="D30" s="26">
        <f>+$G$14+C30</f>
        <v>30</v>
      </c>
      <c r="E30" s="70">
        <f>+IF($G$13="H",(VLOOKUP(D30,'CSO2001'!_xlnm.Print_Area,11)-VLOOKUP($G$14+$G$15,'CSO2001'!_xlnm.Print_Area,11))/VLOOKUP(D30,'CSO2001'!_xlnm.Print_Area,8)*$G$11,(VLOOKUP(D30-3,'CSO2001'!_xlnm.Print_Area,11)-VLOOKUP($G$14+$G$15-3,'CSO2001'!_xlnm.Print_Area,11))/VLOOKUP(D30-3,'CSO2001'!_xlnm.Print_Area,8)*$G$11)</f>
        <v>16.827419270355701</v>
      </c>
      <c r="F30" s="68">
        <f t="shared" si="1"/>
        <v>1.865578528388399</v>
      </c>
      <c r="G30" s="68">
        <f>+IF($G$13="H",(VLOOKUP(D30,'CSO2001'!_xlnm.Print_Area,9)-VLOOKUP($G$14+$G$15,'CSO2001'!_xlnm.Print_Area,9))/VLOOKUP(D30,'CSO2001'!_xlnm.Print_Area,8),(VLOOKUP(D30-3,'CSO2001'!_xlnm.Print_Area,9)-VLOOKUP($G$14+$G$15-3,'CSO2001'!_xlnm.Print_Area,9))/VLOOKUP(D30-3,'CSO2001'!_xlnm.Print_Area,8))</f>
        <v>8.7163497347429058</v>
      </c>
      <c r="H30" s="68">
        <f t="shared" si="2"/>
        <v>0.56638435929541942</v>
      </c>
      <c r="I30" s="57">
        <v>0.95</v>
      </c>
      <c r="J30" s="68">
        <f>+I30*H30</f>
        <v>0.53806514133064842</v>
      </c>
      <c r="K30" s="68">
        <f>J30*(VLOOKUP(D30,'CSO2001'!_xlnm.Print_Area,8)-VLOOKUP($G$14+$G$15,'CSO2001'!_xlnm.Print_Area,8))/(VLOOKUP(D30,'CSO2001'!_xlnm.Print_Area,11)-VLOOKUP($G$14+$G$15,'CSO2001'!_xlnm.Print_Area,11))</f>
        <v>8.655821620121273</v>
      </c>
      <c r="L30" s="25"/>
      <c r="M30" s="25"/>
      <c r="N30" s="25"/>
      <c r="O30" s="25"/>
    </row>
    <row r="31" spans="2:16" x14ac:dyDescent="0.2">
      <c r="B31" s="144"/>
      <c r="C31" s="26">
        <f t="shared" si="0"/>
        <v>6</v>
      </c>
      <c r="D31" s="26">
        <f t="shared" ref="D31:D40" si="3">+$G$14+C31</f>
        <v>31</v>
      </c>
      <c r="E31" s="70">
        <f>+IF($G$13="H",(VLOOKUP(D31,'CSO2001'!_xlnm.Print_Area,11)-VLOOKUP($G$14+$G$15,'CSO2001'!_xlnm.Print_Area,11))/VLOOKUP(D31,'CSO2001'!_xlnm.Print_Area,8)*$G$11,(VLOOKUP(D31-3,'CSO2001'!_xlnm.Print_Area,11)-VLOOKUP($G$14+$G$15-3,'CSO2001'!_xlnm.Print_Area,11))/VLOOKUP(D31-3,'CSO2001'!_xlnm.Print_Area,8)*$G$11)</f>
        <v>15.536580571428617</v>
      </c>
      <c r="F31" s="68">
        <f t="shared" si="1"/>
        <v>1.865578528388399</v>
      </c>
      <c r="G31" s="68">
        <f>+IF($G$13="H",(VLOOKUP(D31,'CSO2001'!_xlnm.Print_Area,9)-VLOOKUP($G$14+$G$15,'CSO2001'!_xlnm.Print_Area,9))/VLOOKUP(D31,'CSO2001'!_xlnm.Print_Area,8),(VLOOKUP(D31-3,'CSO2001'!_xlnm.Print_Area,9)-VLOOKUP($G$14+$G$15-3,'CSO2001'!_xlnm.Print_Area,9))/VLOOKUP(D31-3,'CSO2001'!_xlnm.Print_Area,8))</f>
        <v>7.9623635779513764</v>
      </c>
      <c r="H31" s="68">
        <f t="shared" si="2"/>
        <v>0.68216604518070056</v>
      </c>
      <c r="I31" s="57">
        <v>0.95</v>
      </c>
      <c r="J31" s="68">
        <f t="shared" ref="J31:J40" si="4">+I31*H31</f>
        <v>0.64805774292166551</v>
      </c>
      <c r="K31" s="68">
        <f>J31*(VLOOKUP(D31,'CSO2001'!_xlnm.Print_Area,8)-VLOOKUP($G$14+$G$15,'CSO2001'!_xlnm.Print_Area,8))/(VLOOKUP(D31,'CSO2001'!_xlnm.Print_Area,11)-VLOOKUP($G$14+$G$15,'CSO2001'!_xlnm.Print_Area,11))</f>
        <v>10.321572461521843</v>
      </c>
      <c r="L31" s="25"/>
      <c r="M31" s="25"/>
      <c r="N31" s="25"/>
      <c r="O31" s="25"/>
    </row>
    <row r="32" spans="2:16" x14ac:dyDescent="0.2">
      <c r="B32" s="144"/>
      <c r="C32" s="26">
        <f t="shared" si="0"/>
        <v>7</v>
      </c>
      <c r="D32" s="26">
        <f t="shared" si="3"/>
        <v>32</v>
      </c>
      <c r="E32" s="70">
        <f>+IF($G$13="H",(VLOOKUP(D32,'CSO2001'!_xlnm.Print_Area,11)-VLOOKUP($G$14+$G$15,'CSO2001'!_xlnm.Print_Area,11))/VLOOKUP(D32,'CSO2001'!_xlnm.Print_Area,8)*$G$11,(VLOOKUP(D32-3,'CSO2001'!_xlnm.Print_Area,11)-VLOOKUP($G$14+$G$15-3,'CSO2001'!_xlnm.Print_Area,11))/VLOOKUP(D32-3,'CSO2001'!_xlnm.Print_Area,8)*$G$11)</f>
        <v>14.220388450890733</v>
      </c>
      <c r="F32" s="68">
        <f t="shared" si="1"/>
        <v>1.865578528388399</v>
      </c>
      <c r="G32" s="68">
        <f>+IF($G$13="H",(VLOOKUP(D32,'CSO2001'!_xlnm.Print_Area,9)-VLOOKUP($G$14+$G$15,'CSO2001'!_xlnm.Print_Area,9))/VLOOKUP(D32,'CSO2001'!_xlnm.Print_Area,8),(VLOOKUP(D32-3,'CSO2001'!_xlnm.Print_Area,9)-VLOOKUP($G$14+$G$15-3,'CSO2001'!_xlnm.Print_Area,9))/VLOOKUP(D32-3,'CSO2001'!_xlnm.Print_Area,8))</f>
        <v>7.1842235614890821</v>
      </c>
      <c r="H32" s="68">
        <f t="shared" si="2"/>
        <v>0.81765523143466723</v>
      </c>
      <c r="I32" s="57">
        <v>0.95</v>
      </c>
      <c r="J32" s="68">
        <f t="shared" si="4"/>
        <v>0.7767724698629338</v>
      </c>
      <c r="K32" s="68">
        <f>J32*(VLOOKUP(D32,'CSO2001'!_xlnm.Print_Area,8)-VLOOKUP($G$14+$G$15,'CSO2001'!_xlnm.Print_Area,8))/(VLOOKUP(D32,'CSO2001'!_xlnm.Print_Area,11)-VLOOKUP($G$14+$G$15,'CSO2001'!_xlnm.Print_Area,11))</f>
        <v>12.206772552041478</v>
      </c>
    </row>
    <row r="33" spans="2:11" x14ac:dyDescent="0.2">
      <c r="B33" s="144"/>
      <c r="C33" s="26">
        <f t="shared" si="0"/>
        <v>8</v>
      </c>
      <c r="D33" s="26">
        <f t="shared" si="3"/>
        <v>33</v>
      </c>
      <c r="E33" s="70">
        <f>+IF($G$13="H",(VLOOKUP(D33,'CSO2001'!_xlnm.Print_Area,11)-VLOOKUP($G$14+$G$15,'CSO2001'!_xlnm.Print_Area,11))/VLOOKUP(D33,'CSO2001'!_xlnm.Print_Area,8)*$G$11,(VLOOKUP(D33-3,'CSO2001'!_xlnm.Print_Area,11)-VLOOKUP($G$14+$G$15-3,'CSO2001'!_xlnm.Print_Area,11))/VLOOKUP(D33-3,'CSO2001'!_xlnm.Print_Area,8)*$G$11)</f>
        <v>12.862255061568753</v>
      </c>
      <c r="F33" s="68">
        <f t="shared" si="1"/>
        <v>1.865578528388399</v>
      </c>
      <c r="G33" s="68">
        <f>+IF($G$13="H",(VLOOKUP(D33,'CSO2001'!_xlnm.Print_Area,9)-VLOOKUP($G$14+$G$15,'CSO2001'!_xlnm.Print_Area,9))/VLOOKUP(D33,'CSO2001'!_xlnm.Print_Area,8),(VLOOKUP(D33-3,'CSO2001'!_xlnm.Print_Area,9)-VLOOKUP($G$14+$G$15-3,'CSO2001'!_xlnm.Print_Area,9))/VLOOKUP(D33-3,'CSO2001'!_xlnm.Print_Area,8))</f>
        <v>6.381287636380331</v>
      </c>
      <c r="H33" s="68">
        <f t="shared" si="2"/>
        <v>0.95746186366725006</v>
      </c>
      <c r="I33" s="57">
        <v>0.95</v>
      </c>
      <c r="J33" s="68">
        <f t="shared" si="4"/>
        <v>0.90958877048388753</v>
      </c>
      <c r="K33" s="68">
        <f>J33*(VLOOKUP(D33,'CSO2001'!_xlnm.Print_Area,8)-VLOOKUP($G$14+$G$15,'CSO2001'!_xlnm.Print_Area,8))/(VLOOKUP(D33,'CSO2001'!_xlnm.Print_Area,11)-VLOOKUP($G$14+$G$15,'CSO2001'!_xlnm.Print_Area,11))</f>
        <v>14.053370046154132</v>
      </c>
    </row>
    <row r="34" spans="2:11" x14ac:dyDescent="0.2">
      <c r="B34" s="144"/>
      <c r="C34" s="26">
        <f t="shared" si="0"/>
        <v>9</v>
      </c>
      <c r="D34" s="26">
        <f t="shared" si="3"/>
        <v>34</v>
      </c>
      <c r="E34" s="70">
        <f>+IF($G$13="H",(VLOOKUP(D34,'CSO2001'!_xlnm.Print_Area,11)-VLOOKUP($G$14+$G$15,'CSO2001'!_xlnm.Print_Area,11))/VLOOKUP(D34,'CSO2001'!_xlnm.Print_Area,8)*$G$11,(VLOOKUP(D34-3,'CSO2001'!_xlnm.Print_Area,11)-VLOOKUP($G$14+$G$15-3,'CSO2001'!_xlnm.Print_Area,11))/VLOOKUP(D34-3,'CSO2001'!_xlnm.Print_Area,8)*$G$11)</f>
        <v>11.429152353746684</v>
      </c>
      <c r="F34" s="68">
        <f t="shared" si="1"/>
        <v>1.865578528388399</v>
      </c>
      <c r="G34" s="68">
        <f>+IF($G$13="H",(VLOOKUP(D34,'CSO2001'!_xlnm.Print_Area,9)-VLOOKUP($G$14+$G$15,'CSO2001'!_xlnm.Print_Area,9))/VLOOKUP(D34,'CSO2001'!_xlnm.Print_Area,8),(VLOOKUP(D34-3,'CSO2001'!_xlnm.Print_Area,9)-VLOOKUP($G$14+$G$15-3,'CSO2001'!_xlnm.Print_Area,9))/VLOOKUP(D34-3,'CSO2001'!_xlnm.Print_Area,8))</f>
        <v>5.5529436818463367</v>
      </c>
      <c r="H34" s="68">
        <f t="shared" si="2"/>
        <v>1.0696998515441365</v>
      </c>
      <c r="I34" s="57">
        <v>0.95</v>
      </c>
      <c r="J34" s="68">
        <f t="shared" si="4"/>
        <v>1.0162148589669295</v>
      </c>
      <c r="K34" s="68">
        <f>J34*(VLOOKUP(D34,'CSO2001'!_xlnm.Print_Area,8)-VLOOKUP($G$14+$G$15,'CSO2001'!_xlnm.Print_Area,8))/(VLOOKUP(D34,'CSO2001'!_xlnm.Print_Area,11)-VLOOKUP($G$14+$G$15,'CSO2001'!_xlnm.Print_Area,11))</f>
        <v>15.396874833899856</v>
      </c>
    </row>
    <row r="35" spans="2:11" x14ac:dyDescent="0.2">
      <c r="B35" s="144"/>
      <c r="C35" s="26">
        <f t="shared" si="0"/>
        <v>10</v>
      </c>
      <c r="D35" s="26">
        <f t="shared" si="3"/>
        <v>35</v>
      </c>
      <c r="E35" s="70">
        <f>+IF($G$13="H",(VLOOKUP(D35,'CSO2001'!_xlnm.Print_Area,11)-VLOOKUP($G$14+$G$15,'CSO2001'!_xlnm.Print_Area,11))/VLOOKUP(D35,'CSO2001'!_xlnm.Print_Area,8)*$G$11,(VLOOKUP(D35-3,'CSO2001'!_xlnm.Print_Area,11)-VLOOKUP($G$14+$G$15-3,'CSO2001'!_xlnm.Print_Area,11))/VLOOKUP(D35-3,'CSO2001'!_xlnm.Print_Area,8)*$G$11)</f>
        <v>9.9027232658850846</v>
      </c>
      <c r="F35" s="68">
        <f t="shared" si="1"/>
        <v>1.865578528388399</v>
      </c>
      <c r="G35" s="68">
        <f>+IF($G$13="H",(VLOOKUP(D35,'CSO2001'!_xlnm.Print_Area,9)-VLOOKUP($G$14+$G$15,'CSO2001'!_xlnm.Print_Area,9))/VLOOKUP(D35,'CSO2001'!_xlnm.Print_Area,8),(VLOOKUP(D35-3,'CSO2001'!_xlnm.Print_Area,9)-VLOOKUP($G$14+$G$15-3,'CSO2001'!_xlnm.Print_Area,9))/VLOOKUP(D35-3,'CSO2001'!_xlnm.Print_Area,8))</f>
        <v>4.6984025763659067</v>
      </c>
      <c r="H35" s="68">
        <f t="shared" si="2"/>
        <v>1.1374843016921137</v>
      </c>
      <c r="I35" s="57">
        <v>0.95</v>
      </c>
      <c r="J35" s="68">
        <f t="shared" si="4"/>
        <v>1.0806100866075079</v>
      </c>
      <c r="K35" s="68">
        <f>J35*(VLOOKUP(D35,'CSO2001'!_xlnm.Print_Area,8)-VLOOKUP($G$14+$G$15,'CSO2001'!_xlnm.Print_Area,8))/(VLOOKUP(D35,'CSO2001'!_xlnm.Print_Area,11)-VLOOKUP($G$14+$G$15,'CSO2001'!_xlnm.Print_Area,11))</f>
        <v>16.013663903672359</v>
      </c>
    </row>
    <row r="36" spans="2:11" x14ac:dyDescent="0.2">
      <c r="B36" s="144"/>
      <c r="C36" s="26">
        <f t="shared" si="0"/>
        <v>11</v>
      </c>
      <c r="D36" s="26">
        <f t="shared" si="3"/>
        <v>36</v>
      </c>
      <c r="E36" s="70">
        <f>+IF($G$13="H",(VLOOKUP(D36,'CSO2001'!_xlnm.Print_Area,11)-VLOOKUP($G$14+$G$15,'CSO2001'!_xlnm.Print_Area,11))/VLOOKUP(D36,'CSO2001'!_xlnm.Print_Area,8)*$G$11,(VLOOKUP(D36-3,'CSO2001'!_xlnm.Print_Area,11)-VLOOKUP($G$14+$G$15-3,'CSO2001'!_xlnm.Print_Area,11))/VLOOKUP(D36-3,'CSO2001'!_xlnm.Print_Area,8)*$G$11)</f>
        <v>8.2798347238870669</v>
      </c>
      <c r="F36" s="68">
        <f t="shared" si="1"/>
        <v>1.865578528388399</v>
      </c>
      <c r="G36" s="68">
        <f>+IF($G$13="H",(VLOOKUP(D36,'CSO2001'!_xlnm.Print_Area,9)-VLOOKUP($G$14+$G$15,'CSO2001'!_xlnm.Print_Area,9))/VLOOKUP(D36,'CSO2001'!_xlnm.Print_Area,8),(VLOOKUP(D36-3,'CSO2001'!_xlnm.Print_Area,9)-VLOOKUP($G$14+$G$15-3,'CSO2001'!_xlnm.Print_Area,9))/VLOOKUP(D36-3,'CSO2001'!_xlnm.Print_Area,8))</f>
        <v>3.816743869788795</v>
      </c>
      <c r="H36" s="68">
        <f t="shared" si="2"/>
        <v>1.1593993120510433</v>
      </c>
      <c r="I36" s="57">
        <v>0.95</v>
      </c>
      <c r="J36" s="68">
        <f t="shared" si="4"/>
        <v>1.101429346448491</v>
      </c>
      <c r="K36" s="68">
        <f>J36*(VLOOKUP(D36,'CSO2001'!_xlnm.Print_Area,8)-VLOOKUP($G$14+$G$15,'CSO2001'!_xlnm.Print_Area,8))/(VLOOKUP(D36,'CSO2001'!_xlnm.Print_Area,11)-VLOOKUP($G$14+$G$15,'CSO2001'!_xlnm.Print_Area,11))</f>
        <v>15.889517220269456</v>
      </c>
    </row>
    <row r="37" spans="2:11" x14ac:dyDescent="0.2">
      <c r="B37" s="144"/>
      <c r="C37" s="26">
        <f t="shared" si="0"/>
        <v>12</v>
      </c>
      <c r="D37" s="26">
        <f t="shared" si="3"/>
        <v>37</v>
      </c>
      <c r="E37" s="70">
        <f>+IF($G$13="H",(VLOOKUP(D37,'CSO2001'!_xlnm.Print_Area,11)-VLOOKUP($G$14+$G$15,'CSO2001'!_xlnm.Print_Area,11))/VLOOKUP(D37,'CSO2001'!_xlnm.Print_Area,8)*$G$11,(VLOOKUP(D37-3,'CSO2001'!_xlnm.Print_Area,11)-VLOOKUP($G$14+$G$15-3,'CSO2001'!_xlnm.Print_Area,11))/VLOOKUP(D37-3,'CSO2001'!_xlnm.Print_Area,8)*$G$11)</f>
        <v>6.4935285119962334</v>
      </c>
      <c r="F37" s="68">
        <f t="shared" si="1"/>
        <v>1.865578528388399</v>
      </c>
      <c r="G37" s="68">
        <f>+IF($G$13="H",(VLOOKUP(D37,'CSO2001'!_xlnm.Print_Area,9)-VLOOKUP($G$14+$G$15,'CSO2001'!_xlnm.Print_Area,9))/VLOOKUP(D37,'CSO2001'!_xlnm.Print_Area,8),(VLOOKUP(D37-3,'CSO2001'!_xlnm.Print_Area,9)-VLOOKUP($G$14+$G$15-3,'CSO2001'!_xlnm.Print_Area,9))/VLOOKUP(D37-3,'CSO2001'!_xlnm.Print_Area,8))</f>
        <v>2.90720013175229</v>
      </c>
      <c r="H37" s="68">
        <f t="shared" si="2"/>
        <v>1.069918368471237</v>
      </c>
      <c r="I37" s="57">
        <v>0.95</v>
      </c>
      <c r="J37" s="68">
        <f t="shared" si="4"/>
        <v>1.0164224500476751</v>
      </c>
      <c r="K37" s="68">
        <f>J37*(VLOOKUP(D37,'CSO2001'!_xlnm.Print_Area,8)-VLOOKUP($G$14+$G$15,'CSO2001'!_xlnm.Print_Area,8))/(VLOOKUP(D37,'CSO2001'!_xlnm.Print_Area,11)-VLOOKUP($G$14+$G$15,'CSO2001'!_xlnm.Print_Area,11))</f>
        <v>14.270590012827563</v>
      </c>
    </row>
    <row r="38" spans="2:11" x14ac:dyDescent="0.2">
      <c r="B38" s="144"/>
      <c r="C38" s="26">
        <f t="shared" si="0"/>
        <v>13</v>
      </c>
      <c r="D38" s="26">
        <f t="shared" si="3"/>
        <v>38</v>
      </c>
      <c r="E38" s="70">
        <f>+IF($G$13="H",(VLOOKUP(D38,'CSO2001'!_xlnm.Print_Area,11)-VLOOKUP($G$14+$G$15,'CSO2001'!_xlnm.Print_Area,11))/VLOOKUP(D38,'CSO2001'!_xlnm.Print_Area,8)*$G$11,(VLOOKUP(D38-3,'CSO2001'!_xlnm.Print_Area,11)-VLOOKUP($G$14+$G$15-3,'CSO2001'!_xlnm.Print_Area,11))/VLOOKUP(D38-3,'CSO2001'!_xlnm.Print_Area,8)*$G$11)</f>
        <v>4.554098354227551</v>
      </c>
      <c r="F38" s="68">
        <f t="shared" si="1"/>
        <v>1.865578528388399</v>
      </c>
      <c r="G38" s="68">
        <f>+IF($G$13="H",(VLOOKUP(D38,'CSO2001'!_xlnm.Print_Area,9)-VLOOKUP($G$14+$G$15,'CSO2001'!_xlnm.Print_Area,9))/VLOOKUP(D38,'CSO2001'!_xlnm.Print_Area,8),(VLOOKUP(D38-3,'CSO2001'!_xlnm.Print_Area,9)-VLOOKUP($G$14+$G$15-3,'CSO2001'!_xlnm.Print_Area,9))/VLOOKUP(D38-3,'CSO2001'!_xlnm.Print_Area,8))</f>
        <v>1.9686368932038787</v>
      </c>
      <c r="H38" s="68">
        <f t="shared" si="2"/>
        <v>0.88145163607314947</v>
      </c>
      <c r="I38" s="57">
        <v>0.95</v>
      </c>
      <c r="J38" s="68">
        <f t="shared" si="4"/>
        <v>0.837379054269492</v>
      </c>
      <c r="K38" s="68">
        <f>J38*(VLOOKUP(D38,'CSO2001'!_xlnm.Print_Area,8)-VLOOKUP($G$14+$G$15,'CSO2001'!_xlnm.Print_Area,8))/(VLOOKUP(D38,'CSO2001'!_xlnm.Print_Area,11)-VLOOKUP($G$14+$G$15,'CSO2001'!_xlnm.Print_Area,11))</f>
        <v>11.380503614612204</v>
      </c>
    </row>
    <row r="39" spans="2:11" x14ac:dyDescent="0.2">
      <c r="B39" s="144"/>
      <c r="C39" s="26">
        <f t="shared" si="0"/>
        <v>14</v>
      </c>
      <c r="D39" s="26">
        <f t="shared" si="3"/>
        <v>39</v>
      </c>
      <c r="E39" s="70">
        <f>+IF($G$13="H",(VLOOKUP(D39,'CSO2001'!_xlnm.Print_Area,11)-VLOOKUP($G$14+$G$15,'CSO2001'!_xlnm.Print_Area,11))/VLOOKUP(D39,'CSO2001'!_xlnm.Print_Area,8)*$G$11,(VLOOKUP(D39-3,'CSO2001'!_xlnm.Print_Area,11)-VLOOKUP($G$14+$G$15-3,'CSO2001'!_xlnm.Print_Area,11))/VLOOKUP(D39-3,'CSO2001'!_xlnm.Print_Area,8)*$G$11)</f>
        <v>2.3922330097087339</v>
      </c>
      <c r="F39" s="68">
        <f t="shared" si="1"/>
        <v>1.865578528388399</v>
      </c>
      <c r="G39" s="68">
        <f>+IF($G$13="H",(VLOOKUP(D39,'CSO2001'!_xlnm.Print_Area,9)-VLOOKUP($G$14+$G$15,'CSO2001'!_xlnm.Print_Area,9))/VLOOKUP(D39,'CSO2001'!_xlnm.Print_Area,8),(VLOOKUP(D39-3,'CSO2001'!_xlnm.Print_Area,9)-VLOOKUP($G$14+$G$15-3,'CSO2001'!_xlnm.Print_Area,9))/VLOOKUP(D39-3,'CSO2001'!_xlnm.Print_Area,8))</f>
        <v>1.0000000000000022</v>
      </c>
      <c r="H39" s="68">
        <f t="shared" si="2"/>
        <v>0.52665448132033066</v>
      </c>
      <c r="I39" s="57">
        <v>0.95</v>
      </c>
      <c r="J39" s="68">
        <f t="shared" si="4"/>
        <v>0.50032175725431405</v>
      </c>
      <c r="K39" s="68">
        <f>J39*(VLOOKUP(D39,'CSO2001'!_xlnm.Print_Area,8)-VLOOKUP($G$14+$G$15,'CSO2001'!_xlnm.Print_Area,8))/(VLOOKUP(D39,'CSO2001'!_xlnm.Print_Area,11)-VLOOKUP($G$14+$G$15,'CSO2001'!_xlnm.Print_Area,11))</f>
        <v>6.5919015939545886</v>
      </c>
    </row>
    <row r="40" spans="2:11" x14ac:dyDescent="0.2">
      <c r="B40" s="144"/>
      <c r="C40" s="26">
        <f t="shared" si="0"/>
        <v>15</v>
      </c>
      <c r="D40" s="26">
        <f t="shared" si="3"/>
        <v>40</v>
      </c>
      <c r="E40" s="70">
        <f>+IF($G$13="H",(VLOOKUP(D40,'CSO2001'!_xlnm.Print_Area,11)-VLOOKUP($G$14+$G$15,'CSO2001'!_xlnm.Print_Area,11))/VLOOKUP(D40,'CSO2001'!_xlnm.Print_Area,8)*$G$11,(VLOOKUP(D40-3,'CSO2001'!_xlnm.Print_Area,11)-VLOOKUP($G$14+$G$15-3,'CSO2001'!_xlnm.Print_Area,11))/VLOOKUP(D40-3,'CSO2001'!_xlnm.Print_Area,8)*$G$11)</f>
        <v>0</v>
      </c>
      <c r="F40" s="68">
        <f t="shared" si="1"/>
        <v>1.865578528388399</v>
      </c>
      <c r="G40" s="68">
        <f>+IF($G$13="H",(VLOOKUP(D40,'CSO2001'!_xlnm.Print_Area,9)-VLOOKUP($G$14+$G$15,'CSO2001'!_xlnm.Print_Area,9))/VLOOKUP(D40,'CSO2001'!_xlnm.Print_Area,8),(VLOOKUP(D40-3,'CSO2001'!_xlnm.Print_Area,9)-VLOOKUP($G$14+$G$15-3,'CSO2001'!_xlnm.Print_Area,9))/VLOOKUP(D40-3,'CSO2001'!_xlnm.Print_Area,8))</f>
        <v>0</v>
      </c>
      <c r="H40" s="68">
        <f t="shared" si="2"/>
        <v>0</v>
      </c>
      <c r="I40" s="57">
        <v>0.95</v>
      </c>
      <c r="J40" s="68">
        <f t="shared" si="4"/>
        <v>0</v>
      </c>
      <c r="K40" s="68" t="e">
        <f>J40*(VLOOKUP(D40,'CSO2001'!_xlnm.Print_Area,8)-VLOOKUP($G$14+$G$15,'CSO2001'!_xlnm.Print_Area,8))/(VLOOKUP(D40,'CSO2001'!_xlnm.Print_Area,11)-VLOOKUP($G$14+$G$15,'CSO2001'!_xlnm.Print_Area,11))</f>
        <v>#DIV/0!</v>
      </c>
    </row>
  </sheetData>
  <mergeCells count="7">
    <mergeCell ref="B26:B40"/>
    <mergeCell ref="B5:Q5"/>
    <mergeCell ref="B6:O6"/>
    <mergeCell ref="C15:E15"/>
    <mergeCell ref="B21:G21"/>
    <mergeCell ref="B22:G22"/>
    <mergeCell ref="L24:O24"/>
  </mergeCells>
  <dataValidations count="1">
    <dataValidation allowBlank="1" showInputMessage="1" showErrorMessage="1" prompt="CELDA PROTEGIDA!!!!" sqref="G24" xr:uid="{00000000-0002-0000-0B00-000000000000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1745" r:id="rId3">
          <objectPr defaultSize="0" autoPict="0" r:id="rId4">
            <anchor moveWithCells="1" sizeWithCells="1">
              <from>
                <xdr:col>3</xdr:col>
                <xdr:colOff>1219200</xdr:colOff>
                <xdr:row>21</xdr:row>
                <xdr:rowOff>142875</xdr:rowOff>
              </from>
              <to>
                <xdr:col>5</xdr:col>
                <xdr:colOff>28575</xdr:colOff>
                <xdr:row>25</xdr:row>
                <xdr:rowOff>114300</xdr:rowOff>
              </to>
            </anchor>
          </objectPr>
        </oleObject>
      </mc:Choice>
      <mc:Fallback>
        <oleObject progId="Equation.3" shapeId="31745" r:id="rId3"/>
      </mc:Fallback>
    </mc:AlternateContent>
    <mc:AlternateContent xmlns:mc="http://schemas.openxmlformats.org/markup-compatibility/2006">
      <mc:Choice Requires="x14">
        <oleObject progId="Equation.3" shapeId="31746" r:id="rId5">
          <objectPr defaultSize="0" autoPict="0" r:id="rId6">
            <anchor moveWithCells="1" sizeWithCells="1">
              <from>
                <xdr:col>5</xdr:col>
                <xdr:colOff>66675</xdr:colOff>
                <xdr:row>23</xdr:row>
                <xdr:rowOff>114300</xdr:rowOff>
              </from>
              <to>
                <xdr:col>5</xdr:col>
                <xdr:colOff>1028700</xdr:colOff>
                <xdr:row>25</xdr:row>
                <xdr:rowOff>9525</xdr:rowOff>
              </to>
            </anchor>
          </objectPr>
        </oleObject>
      </mc:Choice>
      <mc:Fallback>
        <oleObject progId="Equation.3" shapeId="31746" r:id="rId5"/>
      </mc:Fallback>
    </mc:AlternateContent>
    <mc:AlternateContent xmlns:mc="http://schemas.openxmlformats.org/markup-compatibility/2006">
      <mc:Choice Requires="x14">
        <oleObject progId="Equation.3" shapeId="31747" r:id="rId7">
          <objectPr defaultSize="0" autoPict="0" r:id="rId8">
            <anchor moveWithCells="1" sizeWithCells="1">
              <from>
                <xdr:col>6</xdr:col>
                <xdr:colOff>28575</xdr:colOff>
                <xdr:row>23</xdr:row>
                <xdr:rowOff>47625</xdr:rowOff>
              </from>
              <to>
                <xdr:col>6</xdr:col>
                <xdr:colOff>1800225</xdr:colOff>
                <xdr:row>25</xdr:row>
                <xdr:rowOff>28575</xdr:rowOff>
              </to>
            </anchor>
          </objectPr>
        </oleObject>
      </mc:Choice>
      <mc:Fallback>
        <oleObject progId="Equation.3" shapeId="31747" r:id="rId7"/>
      </mc:Fallback>
    </mc:AlternateContent>
    <mc:AlternateContent xmlns:mc="http://schemas.openxmlformats.org/markup-compatibility/2006">
      <mc:Choice Requires="x14">
        <oleObject progId="Equation.3" shapeId="31748" r:id="rId9">
          <objectPr defaultSize="0" autoPict="0" r:id="rId10">
            <anchor moveWithCells="1" sizeWithCells="1">
              <from>
                <xdr:col>4</xdr:col>
                <xdr:colOff>142875</xdr:colOff>
                <xdr:row>15</xdr:row>
                <xdr:rowOff>133350</xdr:rowOff>
              </from>
              <to>
                <xdr:col>7</xdr:col>
                <xdr:colOff>190500</xdr:colOff>
                <xdr:row>20</xdr:row>
                <xdr:rowOff>38100</xdr:rowOff>
              </to>
            </anchor>
          </objectPr>
        </oleObject>
      </mc:Choice>
      <mc:Fallback>
        <oleObject progId="Equation.3" shapeId="31748" r:id="rId9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Q55"/>
  <sheetViews>
    <sheetView topLeftCell="A31" workbookViewId="0">
      <selection activeCell="E8" sqref="E8"/>
    </sheetView>
  </sheetViews>
  <sheetFormatPr defaultColWidth="11.42578125" defaultRowHeight="12.75" x14ac:dyDescent="0.2"/>
  <cols>
    <col min="1" max="1" width="10.28515625" customWidth="1"/>
    <col min="2" max="2" width="3.5703125" customWidth="1"/>
    <col min="3" max="3" width="20.28515625" customWidth="1"/>
    <col min="4" max="4" width="21.85546875" customWidth="1"/>
    <col min="5" max="5" width="27.140625" customWidth="1"/>
    <col min="6" max="6" width="16.85546875" customWidth="1"/>
    <col min="7" max="7" width="29.42578125" customWidth="1"/>
    <col min="8" max="8" width="13.28515625" customWidth="1"/>
    <col min="9" max="9" width="4.7109375" customWidth="1"/>
    <col min="10" max="10" width="19.42578125" customWidth="1"/>
    <col min="11" max="11" width="24.5703125" customWidth="1"/>
    <col min="12" max="12" width="13.7109375" hidden="1" customWidth="1"/>
    <col min="13" max="13" width="12.85546875" hidden="1" customWidth="1"/>
    <col min="14" max="14" width="13" hidden="1" customWidth="1"/>
    <col min="15" max="15" width="0.42578125" customWidth="1"/>
    <col min="16" max="16" width="2" hidden="1" customWidth="1"/>
    <col min="17" max="17" width="11.42578125" hidden="1" customWidth="1"/>
  </cols>
  <sheetData>
    <row r="3" spans="2:17" x14ac:dyDescent="0.2">
      <c r="J3" s="1" t="s">
        <v>48</v>
      </c>
    </row>
    <row r="4" spans="2:17" x14ac:dyDescent="0.2">
      <c r="O4" s="1"/>
    </row>
    <row r="5" spans="2:17" ht="18" x14ac:dyDescent="0.25">
      <c r="B5" s="173" t="s">
        <v>65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2:17" ht="15" x14ac:dyDescent="0.25">
      <c r="B6" s="174" t="s">
        <v>35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2:17" ht="15.75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7" ht="15.75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10" spans="2:17" ht="6" customHeight="1" x14ac:dyDescent="0.2"/>
    <row r="11" spans="2:17" ht="18" x14ac:dyDescent="0.25">
      <c r="B11" s="50"/>
      <c r="C11" s="51" t="s">
        <v>25</v>
      </c>
      <c r="D11" s="51"/>
      <c r="E11" s="51"/>
      <c r="F11" s="51" t="s">
        <v>26</v>
      </c>
      <c r="G11" s="52">
        <v>1000</v>
      </c>
    </row>
    <row r="12" spans="2:17" ht="0.75" customHeight="1" x14ac:dyDescent="0.25">
      <c r="B12" s="46"/>
      <c r="C12" s="46"/>
      <c r="D12" s="46"/>
      <c r="E12" s="46"/>
      <c r="F12" s="46"/>
      <c r="G12" s="40">
        <v>1</v>
      </c>
      <c r="H12" s="41" t="s">
        <v>17</v>
      </c>
    </row>
    <row r="13" spans="2:17" ht="18" x14ac:dyDescent="0.25">
      <c r="B13" s="50"/>
      <c r="C13" s="53" t="s">
        <v>27</v>
      </c>
      <c r="D13" s="50"/>
      <c r="E13" s="50"/>
      <c r="F13" s="51" t="s">
        <v>26</v>
      </c>
      <c r="G13" s="40" t="s">
        <v>52</v>
      </c>
      <c r="H13" s="41"/>
    </row>
    <row r="14" spans="2:17" ht="18" x14ac:dyDescent="0.25">
      <c r="B14" s="50"/>
      <c r="C14" s="53" t="s">
        <v>28</v>
      </c>
      <c r="D14" s="50"/>
      <c r="E14" s="50"/>
      <c r="F14" s="51" t="s">
        <v>26</v>
      </c>
      <c r="G14" s="40">
        <v>25</v>
      </c>
      <c r="H14" s="41" t="s">
        <v>17</v>
      </c>
      <c r="I14" s="82" t="s">
        <v>78</v>
      </c>
    </row>
    <row r="15" spans="2:17" ht="18" x14ac:dyDescent="0.25">
      <c r="B15" s="46"/>
      <c r="C15" s="175" t="s">
        <v>33</v>
      </c>
      <c r="D15" s="175"/>
      <c r="E15" s="175"/>
      <c r="F15" s="51"/>
      <c r="G15" s="88">
        <v>30</v>
      </c>
      <c r="H15" s="40"/>
      <c r="I15" s="82" t="s">
        <v>79</v>
      </c>
    </row>
    <row r="16" spans="2:17" ht="18" x14ac:dyDescent="0.25">
      <c r="B16" s="46"/>
      <c r="C16" s="54" t="s">
        <v>34</v>
      </c>
      <c r="D16" s="46"/>
      <c r="E16" s="46"/>
      <c r="F16" s="46"/>
      <c r="G16" s="46"/>
      <c r="H16" s="40"/>
      <c r="I16" s="82" t="s">
        <v>80</v>
      </c>
    </row>
    <row r="17" spans="2:16" ht="18" x14ac:dyDescent="0.25">
      <c r="B17" s="46"/>
      <c r="C17" s="46"/>
      <c r="D17" s="46"/>
      <c r="E17" s="46"/>
      <c r="F17" s="46"/>
      <c r="H17" s="40"/>
      <c r="I17" s="41"/>
    </row>
    <row r="18" spans="2:16" ht="18" x14ac:dyDescent="0.25">
      <c r="B18" s="46"/>
      <c r="C18" s="46"/>
      <c r="D18" s="46"/>
      <c r="E18" s="46"/>
      <c r="F18" s="46"/>
      <c r="G18" s="46"/>
      <c r="H18" s="40"/>
      <c r="I18" s="41"/>
    </row>
    <row r="19" spans="2:16" ht="18" x14ac:dyDescent="0.25">
      <c r="B19" s="46"/>
      <c r="C19" s="46" t="s">
        <v>29</v>
      </c>
      <c r="D19" s="46"/>
      <c r="F19" s="46"/>
      <c r="G19" s="46"/>
      <c r="H19" s="40"/>
      <c r="I19" s="41"/>
    </row>
    <row r="20" spans="2:16" ht="18" x14ac:dyDescent="0.25">
      <c r="B20" s="46"/>
      <c r="C20" s="46"/>
      <c r="D20" s="46"/>
      <c r="E20" s="46"/>
      <c r="F20" s="46"/>
      <c r="G20" s="46"/>
      <c r="H20" s="40"/>
      <c r="I20" s="41"/>
    </row>
    <row r="21" spans="2:16" x14ac:dyDescent="0.2">
      <c r="B21" s="176"/>
      <c r="C21" s="176"/>
      <c r="D21" s="176"/>
      <c r="E21" s="176"/>
      <c r="F21" s="176"/>
      <c r="G21" s="176"/>
      <c r="H21" s="55"/>
      <c r="I21" s="55"/>
      <c r="J21" s="69"/>
      <c r="K21" s="55"/>
    </row>
    <row r="22" spans="2:16" x14ac:dyDescent="0.2">
      <c r="B22" s="177"/>
      <c r="C22" s="177"/>
      <c r="D22" s="177"/>
      <c r="E22" s="177"/>
      <c r="F22" s="177"/>
      <c r="G22" s="177"/>
      <c r="H22" s="30"/>
      <c r="I22" s="30"/>
      <c r="J22" s="30"/>
      <c r="K22" s="30"/>
    </row>
    <row r="23" spans="2:16" x14ac:dyDescent="0.2">
      <c r="G23" s="45">
        <v>0.4</v>
      </c>
      <c r="H23" s="30"/>
      <c r="I23" s="30"/>
      <c r="J23" s="30"/>
      <c r="K23" s="30"/>
      <c r="L23" s="31"/>
      <c r="M23" s="31"/>
      <c r="N23" s="31"/>
      <c r="O23" s="31"/>
    </row>
    <row r="24" spans="2:16" ht="18" x14ac:dyDescent="0.25">
      <c r="F24" s="2"/>
      <c r="G24" s="39"/>
      <c r="K24" s="49"/>
      <c r="L24" s="177"/>
      <c r="M24" s="177"/>
      <c r="N24" s="177"/>
      <c r="O24" s="177"/>
      <c r="P24" s="32"/>
    </row>
    <row r="25" spans="2:16" ht="54.75" customHeight="1" x14ac:dyDescent="0.3">
      <c r="B25" s="56"/>
      <c r="C25" s="58" t="s">
        <v>30</v>
      </c>
      <c r="D25" s="58" t="s">
        <v>31</v>
      </c>
      <c r="E25" s="58"/>
      <c r="F25" s="58"/>
      <c r="G25" s="58"/>
      <c r="H25" s="58" t="s">
        <v>36</v>
      </c>
      <c r="I25" s="59"/>
      <c r="J25" s="59" t="s">
        <v>32</v>
      </c>
      <c r="K25" s="60" t="s">
        <v>37</v>
      </c>
      <c r="L25" s="56"/>
      <c r="M25" s="56"/>
      <c r="N25" s="56"/>
      <c r="O25" s="56"/>
      <c r="P25" s="32"/>
    </row>
    <row r="26" spans="2:16" x14ac:dyDescent="0.2">
      <c r="B26" s="144">
        <f>G14</f>
        <v>25</v>
      </c>
      <c r="C26" s="26">
        <v>1</v>
      </c>
      <c r="D26" s="26">
        <f>$G$14+C26</f>
        <v>26</v>
      </c>
      <c r="E26" s="70">
        <f>+IF($G$13="H",(VLOOKUP(D26,'CSO2001'!_xlnm.Print_Area,11)-VLOOKUP($G$14+$G$15,'CSO2001'!_xlnm.Print_Area,11))/VLOOKUP(D26,'CSO2001'!_xlnm.Print_Area,8)*$G$11,(VLOOKUP(D26-3,'CSO2001'!_xlnm.Print_Area,11)-VLOOKUP($G$14+$G$15-3,'CSO2001'!_xlnm.Print_Area,11))/VLOOKUP(D26-3,'CSO2001'!_xlnm.Print_Area,8)*$G$11)</f>
        <v>58.223895220337269</v>
      </c>
      <c r="F26" s="68">
        <f>+IF($G$13="H",(VLOOKUP(G14,'CSO2001'!_xlnm.Print_Area,11)-VLOOKUP($G$14+$G$15,'CSO2001'!_xlnm.Print_Area,11))/(VLOOKUP(G14,'CSO2001'!_xlnm.Print_Area,9)-VLOOKUP($G$14+$G$15,'CSO2001'!_xlnm.Print_Area,9))*$G$11,(VLOOKUP($G$14-3,'CSO2001'!_xlnm.Print_Area,11)-VLOOKUP($G$14+$G$15-3,'CSO2001'!_xlnm.Print_Area,11))/(VLOOKUP($G$14-3,'CSO2001'!_xlnm.Print_Area,9)-VLOOKUP($G$14+$G$15-3,'CSO2001'!_xlnm.Print_Area,9))*$G$11)</f>
        <v>2.960351449362371</v>
      </c>
      <c r="G26" s="68">
        <f>+IF($G$13="H",(VLOOKUP(D26,'CSO2001'!_xlnm.Print_Area,9)-VLOOKUP($G$14+$G$15,'CSO2001'!_xlnm.Print_Area,9))/VLOOKUP(D26,'CSO2001'!_xlnm.Print_Area,8),(VLOOKUP(D26-3,'CSO2001'!_xlnm.Print_Area,9)-VLOOKUP($G$14+$G$15-3,'CSO2001'!_xlnm.Print_Area,9))/VLOOKUP(D26-3,'CSO2001'!_xlnm.Print_Area,8))</f>
        <v>19.215434739191725</v>
      </c>
      <c r="H26" s="68">
        <f>+IF(C26&gt;1,E26-F26*G26,0)</f>
        <v>0</v>
      </c>
      <c r="I26" s="57">
        <v>0</v>
      </c>
      <c r="J26" s="68">
        <f>+I26*H26</f>
        <v>0</v>
      </c>
      <c r="K26" s="68">
        <f>J26*(VLOOKUP(D26,'CSO2001'!_xlnm.Print_Area,8)-VLOOKUP($G$14+$G$15,'CSO2001'!_xlnm.Print_Area,8))/(VLOOKUP(D26,'CSO2001'!_xlnm.Print_Area,11)-VLOOKUP($G$14+$G$15,'CSO2001'!_xlnm.Print_Area,11))</f>
        <v>0</v>
      </c>
      <c r="L26" s="25"/>
      <c r="M26" s="25"/>
      <c r="N26" s="25"/>
      <c r="O26" s="25"/>
    </row>
    <row r="27" spans="2:16" x14ac:dyDescent="0.2">
      <c r="B27" s="144"/>
      <c r="C27" s="26">
        <f t="shared" ref="C27:C55" si="0">+C26+1</f>
        <v>2</v>
      </c>
      <c r="D27" s="26">
        <f>+$G$14+C27</f>
        <v>27</v>
      </c>
      <c r="E27" s="70">
        <f>+IF($G$13="H",(VLOOKUP(D27,'CSO2001'!_xlnm.Print_Area,11)-VLOOKUP($G$14+$G$15,'CSO2001'!_xlnm.Print_Area,11))/VLOOKUP(D27,'CSO2001'!_xlnm.Print_Area,8)*$G$11,(VLOOKUP(D27-3,'CSO2001'!_xlnm.Print_Area,11)-VLOOKUP($G$14+$G$15-3,'CSO2001'!_xlnm.Print_Area,11))/VLOOKUP(D27-3,'CSO2001'!_xlnm.Print_Area,8)*$G$11)</f>
        <v>58.283055312066615</v>
      </c>
      <c r="F27" s="68">
        <f>F26</f>
        <v>2.960351449362371</v>
      </c>
      <c r="G27" s="68">
        <f>+IF($G$13="H",(VLOOKUP(D27,'CSO2001'!_xlnm.Print_Area,9)-VLOOKUP($G$14+$G$15,'CSO2001'!_xlnm.Print_Area,9))/VLOOKUP(D27,'CSO2001'!_xlnm.Print_Area,8),(VLOOKUP(D27-3,'CSO2001'!_xlnm.Print_Area,9)-VLOOKUP($G$14+$G$15-3,'CSO2001'!_xlnm.Print_Area,9))/VLOOKUP(D27-3,'CSO2001'!_xlnm.Print_Area,8))</f>
        <v>18.795579459759363</v>
      </c>
      <c r="H27" s="68">
        <f>+IF(C27&gt;1,E27-F27*G27,0)</f>
        <v>2.6415344167623758</v>
      </c>
      <c r="I27" s="57">
        <v>0.95</v>
      </c>
      <c r="J27" s="68">
        <f>+I27*H27</f>
        <v>2.5094576959242567</v>
      </c>
      <c r="K27" s="68">
        <f>J27*(VLOOKUP(D27,'CSO2001'!_xlnm.Print_Area,8)-VLOOKUP($G$14+$G$15,'CSO2001'!_xlnm.Print_Area,8))/(VLOOKUP(D27,'CSO2001'!_xlnm.Print_Area,11)-VLOOKUP($G$14+$G$15,'CSO2001'!_xlnm.Print_Area,11))</f>
        <v>26.080420250211326</v>
      </c>
      <c r="L27" s="25"/>
      <c r="M27" s="25"/>
      <c r="N27" s="25"/>
      <c r="O27" s="25"/>
    </row>
    <row r="28" spans="2:16" x14ac:dyDescent="0.2">
      <c r="B28" s="144"/>
      <c r="C28" s="26">
        <f t="shared" si="0"/>
        <v>3</v>
      </c>
      <c r="D28" s="26">
        <f>+$G$14+C28</f>
        <v>28</v>
      </c>
      <c r="E28" s="70">
        <f>+IF($G$13="H",(VLOOKUP(D28,'CSO2001'!_xlnm.Print_Area,11)-VLOOKUP($G$14+$G$15,'CSO2001'!_xlnm.Print_Area,11))/VLOOKUP(D28,'CSO2001'!_xlnm.Print_Area,8)*$G$11,(VLOOKUP(D28-3,'CSO2001'!_xlnm.Print_Area,11)-VLOOKUP($G$14+$G$15-3,'CSO2001'!_xlnm.Print_Area,11))/VLOOKUP(D28-3,'CSO2001'!_xlnm.Print_Area,8)*$G$11)</f>
        <v>58.268625838999228</v>
      </c>
      <c r="F28" s="68">
        <f t="shared" ref="F28:F55" si="1">F27</f>
        <v>2.960351449362371</v>
      </c>
      <c r="G28" s="68">
        <f>+IF($G$13="H",(VLOOKUP(D28,'CSO2001'!_xlnm.Print_Area,9)-VLOOKUP($G$14+$G$15,'CSO2001'!_xlnm.Print_Area,9))/VLOOKUP(D28,'CSO2001'!_xlnm.Print_Area,8),(VLOOKUP(D28-3,'CSO2001'!_xlnm.Print_Area,9)-VLOOKUP($G$14+$G$15-3,'CSO2001'!_xlnm.Print_Area,9))/VLOOKUP(D28-3,'CSO2001'!_xlnm.Print_Area,8))</f>
        <v>18.363823921934003</v>
      </c>
      <c r="H28" s="68">
        <f t="shared" ref="H28:H40" si="2">+IF(C28&gt;1,E28-F28*G28,0)</f>
        <v>3.9052530758665185</v>
      </c>
      <c r="I28" s="57">
        <v>0.95</v>
      </c>
      <c r="J28" s="68">
        <f>+I28*H28</f>
        <v>3.7099904220731923</v>
      </c>
      <c r="K28" s="68">
        <f>J28*(VLOOKUP(D28,'CSO2001'!_xlnm.Print_Area,8)-VLOOKUP($G$14+$G$15,'CSO2001'!_xlnm.Print_Area,8))/(VLOOKUP(D28,'CSO2001'!_xlnm.Print_Area,11)-VLOOKUP($G$14+$G$15,'CSO2001'!_xlnm.Print_Area,11))</f>
        <v>37.765325851379338</v>
      </c>
      <c r="L28" s="25"/>
      <c r="M28" s="25"/>
      <c r="N28" s="25"/>
      <c r="O28" s="25"/>
      <c r="P28" s="25"/>
    </row>
    <row r="29" spans="2:16" x14ac:dyDescent="0.2">
      <c r="B29" s="144"/>
      <c r="C29" s="26">
        <f t="shared" si="0"/>
        <v>4</v>
      </c>
      <c r="D29" s="26">
        <f>+$G$14+C29</f>
        <v>29</v>
      </c>
      <c r="E29" s="70">
        <f>+IF($G$13="H",(VLOOKUP(D29,'CSO2001'!_xlnm.Print_Area,11)-VLOOKUP($G$14+$G$15,'CSO2001'!_xlnm.Print_Area,11))/VLOOKUP(D29,'CSO2001'!_xlnm.Print_Area,8)*$G$11,(VLOOKUP(D29-3,'CSO2001'!_xlnm.Print_Area,11)-VLOOKUP($G$14+$G$15-3,'CSO2001'!_xlnm.Print_Area,11))/VLOOKUP(D29-3,'CSO2001'!_xlnm.Print_Area,8)*$G$11)</f>
        <v>58.253735607225927</v>
      </c>
      <c r="F29" s="68">
        <f t="shared" si="1"/>
        <v>2.960351449362371</v>
      </c>
      <c r="G29" s="68">
        <f>+IF($G$13="H",(VLOOKUP(D29,'CSO2001'!_xlnm.Print_Area,9)-VLOOKUP($G$14+$G$15,'CSO2001'!_xlnm.Print_Area,9))/VLOOKUP(D29,'CSO2001'!_xlnm.Print_Area,8),(VLOOKUP(D29-3,'CSO2001'!_xlnm.Print_Area,9)-VLOOKUP($G$14+$G$15-3,'CSO2001'!_xlnm.Print_Area,9))/VLOOKUP(D29-3,'CSO2001'!_xlnm.Print_Area,8))</f>
        <v>17.918281662864906</v>
      </c>
      <c r="H29" s="68">
        <f t="shared" si="2"/>
        <v>5.2093245164806063</v>
      </c>
      <c r="I29" s="57">
        <v>0.95</v>
      </c>
      <c r="J29" s="68">
        <f>+I29*H29</f>
        <v>4.9488582906565757</v>
      </c>
      <c r="K29" s="68">
        <f>J29*(VLOOKUP(D29,'CSO2001'!_xlnm.Print_Area,8)-VLOOKUP($G$14+$G$15,'CSO2001'!_xlnm.Print_Area,8))/(VLOOKUP(D29,'CSO2001'!_xlnm.Print_Area,11)-VLOOKUP($G$14+$G$15,'CSO2001'!_xlnm.Print_Area,11))</f>
        <v>49.285380817407123</v>
      </c>
      <c r="L29" s="25"/>
      <c r="M29" s="25"/>
      <c r="N29" s="25"/>
      <c r="O29" s="25"/>
    </row>
    <row r="30" spans="2:16" x14ac:dyDescent="0.2">
      <c r="B30" s="144"/>
      <c r="C30" s="26">
        <f t="shared" si="0"/>
        <v>5</v>
      </c>
      <c r="D30" s="26">
        <f>+$G$14+C30</f>
        <v>30</v>
      </c>
      <c r="E30" s="70">
        <f>+IF($G$13="H",(VLOOKUP(D30,'CSO2001'!_xlnm.Print_Area,11)-VLOOKUP($G$14+$G$15,'CSO2001'!_xlnm.Print_Area,11))/VLOOKUP(D30,'CSO2001'!_xlnm.Print_Area,8)*$G$11,(VLOOKUP(D30-3,'CSO2001'!_xlnm.Print_Area,11)-VLOOKUP($G$14+$G$15-3,'CSO2001'!_xlnm.Print_Area,11))/VLOOKUP(D30-3,'CSO2001'!_xlnm.Print_Area,8)*$G$11)</f>
        <v>58.268561829208465</v>
      </c>
      <c r="F30" s="68">
        <f t="shared" si="1"/>
        <v>2.960351449362371</v>
      </c>
      <c r="G30" s="68">
        <f>+IF($G$13="H",(VLOOKUP(D30,'CSO2001'!_xlnm.Print_Area,9)-VLOOKUP($G$14+$G$15,'CSO2001'!_xlnm.Print_Area,9))/VLOOKUP(D30,'CSO2001'!_xlnm.Print_Area,8),(VLOOKUP(D30-3,'CSO2001'!_xlnm.Print_Area,9)-VLOOKUP($G$14+$G$15-3,'CSO2001'!_xlnm.Print_Area,9))/VLOOKUP(D30-3,'CSO2001'!_xlnm.Print_Area,8))</f>
        <v>17.45795274580313</v>
      </c>
      <c r="H30" s="68">
        <f t="shared" si="2"/>
        <v>6.5868861152703815</v>
      </c>
      <c r="I30" s="57">
        <v>0.95</v>
      </c>
      <c r="J30" s="68">
        <f>+I30*H30</f>
        <v>6.2575418095068622</v>
      </c>
      <c r="K30" s="68">
        <f>J30*(VLOOKUP(D30,'CSO2001'!_xlnm.Print_Area,8)-VLOOKUP($G$14+$G$15,'CSO2001'!_xlnm.Print_Area,8))/(VLOOKUP(D30,'CSO2001'!_xlnm.Print_Area,11)-VLOOKUP($G$14+$G$15,'CSO2001'!_xlnm.Print_Area,11))</f>
        <v>60.864351528476014</v>
      </c>
      <c r="L30" s="25"/>
      <c r="M30" s="25"/>
      <c r="N30" s="25"/>
      <c r="O30" s="25"/>
    </row>
    <row r="31" spans="2:16" x14ac:dyDescent="0.2">
      <c r="B31" s="144"/>
      <c r="C31" s="26">
        <f t="shared" si="0"/>
        <v>6</v>
      </c>
      <c r="D31" s="26">
        <f t="shared" ref="D31:D40" si="3">+$G$14+C31</f>
        <v>31</v>
      </c>
      <c r="E31" s="70">
        <f>+IF($G$13="H",(VLOOKUP(D31,'CSO2001'!_xlnm.Print_Area,11)-VLOOKUP($G$14+$G$15,'CSO2001'!_xlnm.Print_Area,11))/VLOOKUP(D31,'CSO2001'!_xlnm.Print_Area,8)*$G$11,(VLOOKUP(D31-3,'CSO2001'!_xlnm.Print_Area,11)-VLOOKUP($G$14+$G$15-3,'CSO2001'!_xlnm.Print_Area,11))/VLOOKUP(D31-3,'CSO2001'!_xlnm.Print_Area,8)*$G$11)</f>
        <v>58.298955979791806</v>
      </c>
      <c r="F31" s="68">
        <f t="shared" si="1"/>
        <v>2.960351449362371</v>
      </c>
      <c r="G31" s="68">
        <f>+IF($G$13="H",(VLOOKUP(D31,'CSO2001'!_xlnm.Print_Area,9)-VLOOKUP($G$14+$G$15,'CSO2001'!_xlnm.Print_Area,9))/VLOOKUP(D31,'CSO2001'!_xlnm.Print_Area,8),(VLOOKUP(D31-3,'CSO2001'!_xlnm.Print_Area,9)-VLOOKUP($G$14+$G$15-3,'CSO2001'!_xlnm.Print_Area,9))/VLOOKUP(D31-3,'CSO2001'!_xlnm.Print_Area,8))</f>
        <v>16.982667714087718</v>
      </c>
      <c r="H31" s="68">
        <f t="shared" si="2"/>
        <v>8.0242909983526829</v>
      </c>
      <c r="I31" s="57">
        <v>0.95</v>
      </c>
      <c r="J31" s="68">
        <f t="shared" ref="J31:J40" si="4">+I31*H31</f>
        <v>7.6230764484350484</v>
      </c>
      <c r="K31" s="68">
        <f>J31*(VLOOKUP(D31,'CSO2001'!_xlnm.Print_Area,8)-VLOOKUP($G$14+$G$15,'CSO2001'!_xlnm.Print_Area,8))/(VLOOKUP(D31,'CSO2001'!_xlnm.Print_Area,11)-VLOOKUP($G$14+$G$15,'CSO2001'!_xlnm.Print_Area,11))</f>
        <v>72.301502064793112</v>
      </c>
      <c r="L31" s="25"/>
      <c r="M31" s="25"/>
      <c r="N31" s="25"/>
      <c r="O31" s="25"/>
    </row>
    <row r="32" spans="2:16" x14ac:dyDescent="0.2">
      <c r="B32" s="144"/>
      <c r="C32" s="26">
        <f t="shared" si="0"/>
        <v>7</v>
      </c>
      <c r="D32" s="26">
        <f t="shared" si="3"/>
        <v>32</v>
      </c>
      <c r="E32" s="70">
        <f>+IF($G$13="H",(VLOOKUP(D32,'CSO2001'!_xlnm.Print_Area,11)-VLOOKUP($G$14+$G$15,'CSO2001'!_xlnm.Print_Area,11))/VLOOKUP(D32,'CSO2001'!_xlnm.Print_Area,8)*$G$11,(VLOOKUP(D32-3,'CSO2001'!_xlnm.Print_Area,11)-VLOOKUP($G$14+$G$15-3,'CSO2001'!_xlnm.Print_Area,11))/VLOOKUP(D32-3,'CSO2001'!_xlnm.Print_Area,8)*$G$11)</f>
        <v>58.345413166190092</v>
      </c>
      <c r="F32" s="68">
        <f t="shared" si="1"/>
        <v>2.960351449362371</v>
      </c>
      <c r="G32" s="68">
        <f>+IF($G$13="H",(VLOOKUP(D32,'CSO2001'!_xlnm.Print_Area,9)-VLOOKUP($G$14+$G$15,'CSO2001'!_xlnm.Print_Area,9))/VLOOKUP(D32,'CSO2001'!_xlnm.Print_Area,8),(VLOOKUP(D32-3,'CSO2001'!_xlnm.Print_Area,9)-VLOOKUP($G$14+$G$15-3,'CSO2001'!_xlnm.Print_Area,9))/VLOOKUP(D32-3,'CSO2001'!_xlnm.Print_Area,8))</f>
        <v>16.491965218625616</v>
      </c>
      <c r="H32" s="68">
        <f t="shared" si="2"/>
        <v>9.523400028397937</v>
      </c>
      <c r="I32" s="57">
        <v>0.95</v>
      </c>
      <c r="J32" s="68">
        <f t="shared" si="4"/>
        <v>9.0472300269780401</v>
      </c>
      <c r="K32" s="68">
        <f>J32*(VLOOKUP(D32,'CSO2001'!_xlnm.Print_Area,8)-VLOOKUP($G$14+$G$15,'CSO2001'!_xlnm.Print_Area,8))/(VLOOKUP(D32,'CSO2001'!_xlnm.Print_Area,11)-VLOOKUP($G$14+$G$15,'CSO2001'!_xlnm.Print_Area,11))</f>
        <v>83.531635063704272</v>
      </c>
    </row>
    <row r="33" spans="2:11" x14ac:dyDescent="0.2">
      <c r="B33" s="144"/>
      <c r="C33" s="26">
        <f t="shared" si="0"/>
        <v>8</v>
      </c>
      <c r="D33" s="26">
        <f t="shared" si="3"/>
        <v>33</v>
      </c>
      <c r="E33" s="70">
        <f>+IF($G$13="H",(VLOOKUP(D33,'CSO2001'!_xlnm.Print_Area,11)-VLOOKUP($G$14+$G$15,'CSO2001'!_xlnm.Print_Area,11))/VLOOKUP(D33,'CSO2001'!_xlnm.Print_Area,8)*$G$11,(VLOOKUP(D33-3,'CSO2001'!_xlnm.Print_Area,11)-VLOOKUP($G$14+$G$15-3,'CSO2001'!_xlnm.Print_Area,11))/VLOOKUP(D33-3,'CSO2001'!_xlnm.Print_Area,8)*$G$11)</f>
        <v>58.393350739312446</v>
      </c>
      <c r="F33" s="68">
        <f t="shared" si="1"/>
        <v>2.960351449362371</v>
      </c>
      <c r="G33" s="68">
        <f>+IF($G$13="H",(VLOOKUP(D33,'CSO2001'!_xlnm.Print_Area,9)-VLOOKUP($G$14+$G$15,'CSO2001'!_xlnm.Print_Area,9))/VLOOKUP(D33,'CSO2001'!_xlnm.Print_Area,8),(VLOOKUP(D33-3,'CSO2001'!_xlnm.Print_Area,9)-VLOOKUP($G$14+$G$15-3,'CSO2001'!_xlnm.Print_Area,9))/VLOOKUP(D33-3,'CSO2001'!_xlnm.Print_Area,8))</f>
        <v>15.985626187331082</v>
      </c>
      <c r="H33" s="68">
        <f t="shared" si="2"/>
        <v>11.070279086681801</v>
      </c>
      <c r="I33" s="57">
        <v>0.95</v>
      </c>
      <c r="J33" s="68">
        <f t="shared" si="4"/>
        <v>10.516765132347711</v>
      </c>
      <c r="K33" s="68">
        <f>J33*(VLOOKUP(D33,'CSO2001'!_xlnm.Print_Area,8)-VLOOKUP($G$14+$G$15,'CSO2001'!_xlnm.Print_Area,8))/(VLOOKUP(D33,'CSO2001'!_xlnm.Print_Area,11)-VLOOKUP($G$14+$G$15,'CSO2001'!_xlnm.Print_Area,11))</f>
        <v>94.372440567304423</v>
      </c>
    </row>
    <row r="34" spans="2:11" x14ac:dyDescent="0.2">
      <c r="B34" s="144"/>
      <c r="C34" s="26">
        <f t="shared" si="0"/>
        <v>9</v>
      </c>
      <c r="D34" s="26">
        <f t="shared" si="3"/>
        <v>34</v>
      </c>
      <c r="E34" s="70">
        <f>+IF($G$13="H",(VLOOKUP(D34,'CSO2001'!_xlnm.Print_Area,11)-VLOOKUP($G$14+$G$15,'CSO2001'!_xlnm.Print_Area,11))/VLOOKUP(D34,'CSO2001'!_xlnm.Print_Area,8)*$G$11,(VLOOKUP(D34-3,'CSO2001'!_xlnm.Print_Area,11)-VLOOKUP($G$14+$G$15-3,'CSO2001'!_xlnm.Print_Area,11))/VLOOKUP(D34-3,'CSO2001'!_xlnm.Print_Area,8)*$G$11)</f>
        <v>58.412630501614764</v>
      </c>
      <c r="F34" s="68">
        <f t="shared" si="1"/>
        <v>2.960351449362371</v>
      </c>
      <c r="G34" s="68">
        <f>+IF($G$13="H",(VLOOKUP(D34,'CSO2001'!_xlnm.Print_Area,9)-VLOOKUP($G$14+$G$15,'CSO2001'!_xlnm.Print_Area,9))/VLOOKUP(D34,'CSO2001'!_xlnm.Print_Area,8),(VLOOKUP(D34-3,'CSO2001'!_xlnm.Print_Area,9)-VLOOKUP($G$14+$G$15-3,'CSO2001'!_xlnm.Print_Area,9))/VLOOKUP(D34-3,'CSO2001'!_xlnm.Print_Area,8))</f>
        <v>15.463648085428199</v>
      </c>
      <c r="H34" s="68">
        <f t="shared" si="2"/>
        <v>12.634797479487744</v>
      </c>
      <c r="I34" s="57">
        <v>0.95</v>
      </c>
      <c r="J34" s="68">
        <f t="shared" si="4"/>
        <v>12.003057605513357</v>
      </c>
      <c r="K34" s="68">
        <f>J34*(VLOOKUP(D34,'CSO2001'!_xlnm.Print_Area,8)-VLOOKUP($G$14+$G$15,'CSO2001'!_xlnm.Print_Area,8))/(VLOOKUP(D34,'CSO2001'!_xlnm.Print_Area,11)-VLOOKUP($G$14+$G$15,'CSO2001'!_xlnm.Print_Area,11))</f>
        <v>104.55405721162712</v>
      </c>
    </row>
    <row r="35" spans="2:11" x14ac:dyDescent="0.2">
      <c r="B35" s="144"/>
      <c r="C35" s="26">
        <f t="shared" si="0"/>
        <v>10</v>
      </c>
      <c r="D35" s="26">
        <f t="shared" si="3"/>
        <v>35</v>
      </c>
      <c r="E35" s="70">
        <f>+IF($G$13="H",(VLOOKUP(D35,'CSO2001'!_xlnm.Print_Area,11)-VLOOKUP($G$14+$G$15,'CSO2001'!_xlnm.Print_Area,11))/VLOOKUP(D35,'CSO2001'!_xlnm.Print_Area,8)*$G$11,(VLOOKUP(D35-3,'CSO2001'!_xlnm.Print_Area,11)-VLOOKUP($G$14+$G$15-3,'CSO2001'!_xlnm.Print_Area,11))/VLOOKUP(D35-3,'CSO2001'!_xlnm.Print_Area,8)*$G$11)</f>
        <v>58.387244534344063</v>
      </c>
      <c r="F35" s="68">
        <f t="shared" si="1"/>
        <v>2.960351449362371</v>
      </c>
      <c r="G35" s="68">
        <f>+IF($G$13="H",(VLOOKUP(D35,'CSO2001'!_xlnm.Print_Area,9)-VLOOKUP($G$14+$G$15,'CSO2001'!_xlnm.Print_Area,9))/VLOOKUP(D35,'CSO2001'!_xlnm.Print_Area,8),(VLOOKUP(D35-3,'CSO2001'!_xlnm.Print_Area,9)-VLOOKUP($G$14+$G$15-3,'CSO2001'!_xlnm.Print_Area,9))/VLOOKUP(D35-3,'CSO2001'!_xlnm.Print_Area,8))</f>
        <v>14.925737320051304</v>
      </c>
      <c r="H35" s="68">
        <f t="shared" si="2"/>
        <v>14.201816426128154</v>
      </c>
      <c r="I35" s="57">
        <v>0.95</v>
      </c>
      <c r="J35" s="68">
        <f t="shared" si="4"/>
        <v>13.491725604821745</v>
      </c>
      <c r="K35" s="68">
        <f>J35*(VLOOKUP(D35,'CSO2001'!_xlnm.Print_Area,8)-VLOOKUP($G$14+$G$15,'CSO2001'!_xlnm.Print_Area,8))/(VLOOKUP(D35,'CSO2001'!_xlnm.Print_Area,11)-VLOOKUP($G$14+$G$15,'CSO2001'!_xlnm.Print_Area,11))</f>
        <v>113.94621348945881</v>
      </c>
    </row>
    <row r="36" spans="2:11" x14ac:dyDescent="0.2">
      <c r="B36" s="144"/>
      <c r="C36" s="26">
        <f t="shared" si="0"/>
        <v>11</v>
      </c>
      <c r="D36" s="26">
        <f t="shared" si="3"/>
        <v>36</v>
      </c>
      <c r="E36" s="70">
        <f>+IF($G$13="H",(VLOOKUP(D36,'CSO2001'!_xlnm.Print_Area,11)-VLOOKUP($G$14+$G$15,'CSO2001'!_xlnm.Print_Area,11))/VLOOKUP(D36,'CSO2001'!_xlnm.Print_Area,8)*$G$11,(VLOOKUP(D36-3,'CSO2001'!_xlnm.Print_Area,11)-VLOOKUP($G$14+$G$15-3,'CSO2001'!_xlnm.Print_Area,11))/VLOOKUP(D36-3,'CSO2001'!_xlnm.Print_Area,8)*$G$11)</f>
        <v>58.315761184026641</v>
      </c>
      <c r="F36" s="68">
        <f t="shared" si="1"/>
        <v>2.960351449362371</v>
      </c>
      <c r="G36" s="68">
        <f>+IF($G$13="H",(VLOOKUP(D36,'CSO2001'!_xlnm.Print_Area,9)-VLOOKUP($G$14+$G$15,'CSO2001'!_xlnm.Print_Area,9))/VLOOKUP(D36,'CSO2001'!_xlnm.Print_Area,8),(VLOOKUP(D36-3,'CSO2001'!_xlnm.Print_Area,9)-VLOOKUP($G$14+$G$15-3,'CSO2001'!_xlnm.Print_Area,9))/VLOOKUP(D36-3,'CSO2001'!_xlnm.Print_Area,8))</f>
        <v>14.371332339061265</v>
      </c>
      <c r="H36" s="68">
        <f t="shared" si="2"/>
        <v>15.771566664818309</v>
      </c>
      <c r="I36" s="57">
        <v>0.95</v>
      </c>
      <c r="J36" s="68">
        <f t="shared" si="4"/>
        <v>14.982988331577392</v>
      </c>
      <c r="K36" s="68">
        <f>J36*(VLOOKUP(D36,'CSO2001'!_xlnm.Print_Area,8)-VLOOKUP($G$14+$G$15,'CSO2001'!_xlnm.Print_Area,8))/(VLOOKUP(D36,'CSO2001'!_xlnm.Print_Area,11)-VLOOKUP($G$14+$G$15,'CSO2001'!_xlnm.Print_Area,11))</f>
        <v>122.52881326350094</v>
      </c>
    </row>
    <row r="37" spans="2:11" x14ac:dyDescent="0.2">
      <c r="B37" s="144"/>
      <c r="C37" s="26">
        <f t="shared" si="0"/>
        <v>12</v>
      </c>
      <c r="D37" s="26">
        <f t="shared" si="3"/>
        <v>37</v>
      </c>
      <c r="E37" s="70">
        <f>+IF($G$13="H",(VLOOKUP(D37,'CSO2001'!_xlnm.Print_Area,11)-VLOOKUP($G$14+$G$15,'CSO2001'!_xlnm.Print_Area,11))/VLOOKUP(D37,'CSO2001'!_xlnm.Print_Area,8)*$G$11,(VLOOKUP(D37-3,'CSO2001'!_xlnm.Print_Area,11)-VLOOKUP($G$14+$G$15-3,'CSO2001'!_xlnm.Print_Area,11))/VLOOKUP(D37-3,'CSO2001'!_xlnm.Print_Area,8)*$G$11)</f>
        <v>58.13629715612317</v>
      </c>
      <c r="F37" s="68">
        <f t="shared" si="1"/>
        <v>2.960351449362371</v>
      </c>
      <c r="G37" s="68">
        <f>+IF($G$13="H",(VLOOKUP(D37,'CSO2001'!_xlnm.Print_Area,9)-VLOOKUP($G$14+$G$15,'CSO2001'!_xlnm.Print_Area,9))/VLOOKUP(D37,'CSO2001'!_xlnm.Print_Area,8),(VLOOKUP(D37-3,'CSO2001'!_xlnm.Print_Area,9)-VLOOKUP($G$14+$G$15-3,'CSO2001'!_xlnm.Print_Area,9))/VLOOKUP(D37-3,'CSO2001'!_xlnm.Print_Area,8))</f>
        <v>13.800736217005534</v>
      </c>
      <c r="H37" s="68">
        <f t="shared" si="2"/>
        <v>17.28126769384307</v>
      </c>
      <c r="I37" s="57">
        <v>0.95</v>
      </c>
      <c r="J37" s="68">
        <f t="shared" si="4"/>
        <v>16.417204309150915</v>
      </c>
      <c r="K37" s="68">
        <f>J37*(VLOOKUP(D37,'CSO2001'!_xlnm.Print_Area,8)-VLOOKUP($G$14+$G$15,'CSO2001'!_xlnm.Print_Area,8))/(VLOOKUP(D37,'CSO2001'!_xlnm.Print_Area,11)-VLOOKUP($G$14+$G$15,'CSO2001'!_xlnm.Print_Area,11))</f>
        <v>129.92824905593963</v>
      </c>
    </row>
    <row r="38" spans="2:11" x14ac:dyDescent="0.2">
      <c r="B38" s="144"/>
      <c r="C38" s="26">
        <f t="shared" si="0"/>
        <v>13</v>
      </c>
      <c r="D38" s="26">
        <f t="shared" si="3"/>
        <v>38</v>
      </c>
      <c r="E38" s="70">
        <f>+IF($G$13="H",(VLOOKUP(D38,'CSO2001'!_xlnm.Print_Area,11)-VLOOKUP($G$14+$G$15,'CSO2001'!_xlnm.Print_Area,11))/VLOOKUP(D38,'CSO2001'!_xlnm.Print_Area,8)*$G$11,(VLOOKUP(D38-3,'CSO2001'!_xlnm.Print_Area,11)-VLOOKUP($G$14+$G$15-3,'CSO2001'!_xlnm.Print_Area,11))/VLOOKUP(D38-3,'CSO2001'!_xlnm.Print_Area,8)*$G$11)</f>
        <v>57.860438851704885</v>
      </c>
      <c r="F38" s="68">
        <f t="shared" si="1"/>
        <v>2.960351449362371</v>
      </c>
      <c r="G38" s="68">
        <f>+IF($G$13="H",(VLOOKUP(D38,'CSO2001'!_xlnm.Print_Area,9)-VLOOKUP($G$14+$G$15,'CSO2001'!_xlnm.Print_Area,9))/VLOOKUP(D38,'CSO2001'!_xlnm.Print_Area,8),(VLOOKUP(D38-3,'CSO2001'!_xlnm.Print_Area,9)-VLOOKUP($G$14+$G$15-3,'CSO2001'!_xlnm.Print_Area,9))/VLOOKUP(D38-3,'CSO2001'!_xlnm.Print_Area,8))</f>
        <v>13.21308716239186</v>
      </c>
      <c r="H38" s="68">
        <f t="shared" si="2"/>
        <v>18.745057119966802</v>
      </c>
      <c r="I38" s="57">
        <v>0.95</v>
      </c>
      <c r="J38" s="68">
        <f t="shared" si="4"/>
        <v>17.80780426396846</v>
      </c>
      <c r="K38" s="68">
        <f>J38*(VLOOKUP(D38,'CSO2001'!_xlnm.Print_Area,8)-VLOOKUP($G$14+$G$15,'CSO2001'!_xlnm.Print_Area,8))/(VLOOKUP(D38,'CSO2001'!_xlnm.Print_Area,11)-VLOOKUP($G$14+$G$15,'CSO2001'!_xlnm.Print_Area,11))</f>
        <v>136.25287183759647</v>
      </c>
    </row>
    <row r="39" spans="2:11" x14ac:dyDescent="0.2">
      <c r="B39" s="144"/>
      <c r="C39" s="26">
        <f t="shared" si="0"/>
        <v>14</v>
      </c>
      <c r="D39" s="26">
        <f t="shared" si="3"/>
        <v>39</v>
      </c>
      <c r="E39" s="70">
        <f>+IF($G$13="H",(VLOOKUP(D39,'CSO2001'!_xlnm.Print_Area,11)-VLOOKUP($G$14+$G$15,'CSO2001'!_xlnm.Print_Area,11))/VLOOKUP(D39,'CSO2001'!_xlnm.Print_Area,8)*$G$11,(VLOOKUP(D39-3,'CSO2001'!_xlnm.Print_Area,11)-VLOOKUP($G$14+$G$15-3,'CSO2001'!_xlnm.Print_Area,11))/VLOOKUP(D39-3,'CSO2001'!_xlnm.Print_Area,8)*$G$11)</f>
        <v>57.424558199347317</v>
      </c>
      <c r="F39" s="68">
        <f t="shared" si="1"/>
        <v>2.960351449362371</v>
      </c>
      <c r="G39" s="68">
        <f>+IF($G$13="H",(VLOOKUP(D39,'CSO2001'!_xlnm.Print_Area,9)-VLOOKUP($G$14+$G$15,'CSO2001'!_xlnm.Print_Area,9))/VLOOKUP(D39,'CSO2001'!_xlnm.Print_Area,8),(VLOOKUP(D39-3,'CSO2001'!_xlnm.Print_Area,9)-VLOOKUP($G$14+$G$15-3,'CSO2001'!_xlnm.Print_Area,9))/VLOOKUP(D39-3,'CSO2001'!_xlnm.Print_Area,8))</f>
        <v>12.608529829991923</v>
      </c>
      <c r="H39" s="68">
        <f t="shared" si="2"/>
        <v>20.098878642802035</v>
      </c>
      <c r="I39" s="57">
        <v>0.95</v>
      </c>
      <c r="J39" s="68">
        <f t="shared" si="4"/>
        <v>19.093934710661934</v>
      </c>
      <c r="K39" s="68">
        <f>J39*(VLOOKUP(D39,'CSO2001'!_xlnm.Print_Area,8)-VLOOKUP($G$14+$G$15,'CSO2001'!_xlnm.Print_Area,8))/(VLOOKUP(D39,'CSO2001'!_xlnm.Print_Area,11)-VLOOKUP($G$14+$G$15,'CSO2001'!_xlnm.Print_Area,11))</f>
        <v>141.20253439920089</v>
      </c>
    </row>
    <row r="40" spans="2:11" x14ac:dyDescent="0.2">
      <c r="B40" s="144"/>
      <c r="C40" s="26">
        <f t="shared" si="0"/>
        <v>15</v>
      </c>
      <c r="D40" s="26">
        <f t="shared" si="3"/>
        <v>40</v>
      </c>
      <c r="E40" s="70">
        <f>+IF($G$13="H",(VLOOKUP(D40,'CSO2001'!_xlnm.Print_Area,11)-VLOOKUP($G$14+$G$15,'CSO2001'!_xlnm.Print_Area,11))/VLOOKUP(D40,'CSO2001'!_xlnm.Print_Area,8)*$G$11,(VLOOKUP(D40-3,'CSO2001'!_xlnm.Print_Area,11)-VLOOKUP($G$14+$G$15-3,'CSO2001'!_xlnm.Print_Area,11))/VLOOKUP(D40-3,'CSO2001'!_xlnm.Print_Area,8)*$G$11)</f>
        <v>56.82330757519302</v>
      </c>
      <c r="F40" s="68">
        <f t="shared" si="1"/>
        <v>2.960351449362371</v>
      </c>
      <c r="G40" s="68">
        <f>+IF($G$13="H",(VLOOKUP(D40,'CSO2001'!_xlnm.Print_Area,9)-VLOOKUP($G$14+$G$15,'CSO2001'!_xlnm.Print_Area,9))/VLOOKUP(D40,'CSO2001'!_xlnm.Print_Area,8),(VLOOKUP(D40-3,'CSO2001'!_xlnm.Print_Area,9)-VLOOKUP($G$14+$G$15-3,'CSO2001'!_xlnm.Print_Area,9))/VLOOKUP(D40-3,'CSO2001'!_xlnm.Print_Area,8))</f>
        <v>11.98632001741459</v>
      </c>
      <c r="H40" s="68">
        <f t="shared" si="2"/>
        <v>21.339587739118535</v>
      </c>
      <c r="I40" s="57">
        <v>0.95</v>
      </c>
      <c r="J40" s="68">
        <f t="shared" si="4"/>
        <v>20.272608352162607</v>
      </c>
      <c r="K40" s="68">
        <f>J40*(VLOOKUP(D40,'CSO2001'!_xlnm.Print_Area,8)-VLOOKUP($G$14+$G$15,'CSO2001'!_xlnm.Print_Area,8))/(VLOOKUP(D40,'CSO2001'!_xlnm.Print_Area,11)-VLOOKUP($G$14+$G$15,'CSO2001'!_xlnm.Print_Area,11))</f>
        <v>144.82527189164554</v>
      </c>
    </row>
    <row r="41" spans="2:11" x14ac:dyDescent="0.2">
      <c r="C41" s="26">
        <f t="shared" si="0"/>
        <v>16</v>
      </c>
      <c r="D41" s="26">
        <f t="shared" ref="D41:D55" si="5">+$G$14+C41</f>
        <v>41</v>
      </c>
      <c r="E41" s="70">
        <f>+IF($G$13="H",(VLOOKUP(D41,'CSO2001'!_xlnm.Print_Area,11)-VLOOKUP($G$14+$G$15,'CSO2001'!_xlnm.Print_Area,11))/VLOOKUP(D41,'CSO2001'!_xlnm.Print_Area,8)*$G$11,(VLOOKUP(D41-3,'CSO2001'!_xlnm.Print_Area,11)-VLOOKUP($G$14+$G$15-3,'CSO2001'!_xlnm.Print_Area,11))/VLOOKUP(D41-3,'CSO2001'!_xlnm.Print_Area,8)*$G$11)</f>
        <v>56.035941688506476</v>
      </c>
      <c r="F41" s="68">
        <f t="shared" si="1"/>
        <v>2.960351449362371</v>
      </c>
      <c r="G41" s="68">
        <f>+IF($G$13="H",(VLOOKUP(D41,'CSO2001'!_xlnm.Print_Area,9)-VLOOKUP($G$14+$G$15,'CSO2001'!_xlnm.Print_Area,9))/VLOOKUP(D41,'CSO2001'!_xlnm.Print_Area,8),(VLOOKUP(D41-3,'CSO2001'!_xlnm.Print_Area,9)-VLOOKUP($G$14+$G$15-3,'CSO2001'!_xlnm.Print_Area,9))/VLOOKUP(D41-3,'CSO2001'!_xlnm.Print_Area,8))</f>
        <v>11.345862695453025</v>
      </c>
      <c r="H41" s="68">
        <f t="shared" ref="H41:H55" si="6">+IF(C41&gt;1,E41-F41*G41,0)</f>
        <v>22.448200613755652</v>
      </c>
      <c r="I41" s="57">
        <v>0.95</v>
      </c>
      <c r="J41" s="68">
        <f t="shared" ref="J41:J55" si="7">+I41*H41</f>
        <v>21.325790583067867</v>
      </c>
      <c r="K41" s="68">
        <f>J41*(VLOOKUP(D41,'CSO2001'!_xlnm.Print_Area,8)-VLOOKUP($G$14+$G$15,'CSO2001'!_xlnm.Print_Area,8))/(VLOOKUP(D41,'CSO2001'!_xlnm.Print_Area,11)-VLOOKUP($G$14+$G$15,'CSO2001'!_xlnm.Print_Area,11))</f>
        <v>147.09085541967104</v>
      </c>
    </row>
    <row r="42" spans="2:11" x14ac:dyDescent="0.2">
      <c r="C42" s="26">
        <f t="shared" si="0"/>
        <v>17</v>
      </c>
      <c r="D42" s="26">
        <f t="shared" si="5"/>
        <v>42</v>
      </c>
      <c r="E42" s="70">
        <f>+IF($G$13="H",(VLOOKUP(D42,'CSO2001'!_xlnm.Print_Area,11)-VLOOKUP($G$14+$G$15,'CSO2001'!_xlnm.Print_Area,11))/VLOOKUP(D42,'CSO2001'!_xlnm.Print_Area,8)*$G$11,(VLOOKUP(D42-3,'CSO2001'!_xlnm.Print_Area,11)-VLOOKUP($G$14+$G$15-3,'CSO2001'!_xlnm.Print_Area,11))/VLOOKUP(D42-3,'CSO2001'!_xlnm.Print_Area,8)*$G$11)</f>
        <v>55.01057021224949</v>
      </c>
      <c r="F42" s="68">
        <f t="shared" si="1"/>
        <v>2.960351449362371</v>
      </c>
      <c r="G42" s="68">
        <f>+IF($G$13="H",(VLOOKUP(D42,'CSO2001'!_xlnm.Print_Area,9)-VLOOKUP($G$14+$G$15,'CSO2001'!_xlnm.Print_Area,9))/VLOOKUP(D42,'CSO2001'!_xlnm.Print_Area,8),(VLOOKUP(D42-3,'CSO2001'!_xlnm.Print_Area,9)-VLOOKUP($G$14+$G$15-3,'CSO2001'!_xlnm.Print_Area,9))/VLOOKUP(D42-3,'CSO2001'!_xlnm.Print_Area,8))</f>
        <v>10.686845702408311</v>
      </c>
      <c r="H42" s="68">
        <f t="shared" si="6"/>
        <v>23.37375104801302</v>
      </c>
      <c r="I42" s="57">
        <v>0.95</v>
      </c>
      <c r="J42" s="68">
        <f t="shared" si="7"/>
        <v>22.205063495612368</v>
      </c>
      <c r="K42" s="68">
        <f>J42*(VLOOKUP(D42,'CSO2001'!_xlnm.Print_Area,8)-VLOOKUP($G$14+$G$15,'CSO2001'!_xlnm.Print_Area,8))/(VLOOKUP(D42,'CSO2001'!_xlnm.Print_Area,11)-VLOOKUP($G$14+$G$15,'CSO2001'!_xlnm.Print_Area,11))</f>
        <v>147.84839452326739</v>
      </c>
    </row>
    <row r="43" spans="2:11" x14ac:dyDescent="0.2">
      <c r="C43" s="26">
        <f t="shared" si="0"/>
        <v>18</v>
      </c>
      <c r="D43" s="26">
        <f t="shared" si="5"/>
        <v>43</v>
      </c>
      <c r="E43" s="70">
        <f>+IF($G$13="H",(VLOOKUP(D43,'CSO2001'!_xlnm.Print_Area,11)-VLOOKUP($G$14+$G$15,'CSO2001'!_xlnm.Print_Area,11))/VLOOKUP(D43,'CSO2001'!_xlnm.Print_Area,8)*$G$11,(VLOOKUP(D43-3,'CSO2001'!_xlnm.Print_Area,11)-VLOOKUP($G$14+$G$15-3,'CSO2001'!_xlnm.Print_Area,11))/VLOOKUP(D43-3,'CSO2001'!_xlnm.Print_Area,8)*$G$11)</f>
        <v>53.693269411491414</v>
      </c>
      <c r="F43" s="68">
        <f t="shared" si="1"/>
        <v>2.960351449362371</v>
      </c>
      <c r="G43" s="68">
        <f>+IF($G$13="H",(VLOOKUP(D43,'CSO2001'!_xlnm.Print_Area,9)-VLOOKUP($G$14+$G$15,'CSO2001'!_xlnm.Print_Area,9))/VLOOKUP(D43,'CSO2001'!_xlnm.Print_Area,8),(VLOOKUP(D43-3,'CSO2001'!_xlnm.Print_Area,9)-VLOOKUP($G$14+$G$15-3,'CSO2001'!_xlnm.Print_Area,9))/VLOOKUP(D43-3,'CSO2001'!_xlnm.Print_Area,8))</f>
        <v>10.00883879193206</v>
      </c>
      <c r="H43" s="68">
        <f t="shared" si="6"/>
        <v>24.063588987361015</v>
      </c>
      <c r="I43" s="57">
        <v>0.95</v>
      </c>
      <c r="J43" s="68">
        <f t="shared" si="7"/>
        <v>22.860409537992965</v>
      </c>
      <c r="K43" s="68">
        <f>J43*(VLOOKUP(D43,'CSO2001'!_xlnm.Print_Area,8)-VLOOKUP($G$14+$G$15,'CSO2001'!_xlnm.Print_Area,8))/(VLOOKUP(D43,'CSO2001'!_xlnm.Print_Area,11)-VLOOKUP($G$14+$G$15,'CSO2001'!_xlnm.Print_Area,11))</f>
        <v>146.97758435998156</v>
      </c>
    </row>
    <row r="44" spans="2:11" x14ac:dyDescent="0.2">
      <c r="C44" s="26">
        <f t="shared" si="0"/>
        <v>19</v>
      </c>
      <c r="D44" s="26">
        <f t="shared" si="5"/>
        <v>44</v>
      </c>
      <c r="E44" s="70">
        <f>+IF($G$13="H",(VLOOKUP(D44,'CSO2001'!_xlnm.Print_Area,11)-VLOOKUP($G$14+$G$15,'CSO2001'!_xlnm.Print_Area,11))/VLOOKUP(D44,'CSO2001'!_xlnm.Print_Area,8)*$G$11,(VLOOKUP(D44-3,'CSO2001'!_xlnm.Print_Area,11)-VLOOKUP($G$14+$G$15-3,'CSO2001'!_xlnm.Print_Area,11))/VLOOKUP(D44-3,'CSO2001'!_xlnm.Print_Area,8)*$G$11)</f>
        <v>52.04309574319273</v>
      </c>
      <c r="F44" s="68">
        <f t="shared" si="1"/>
        <v>2.960351449362371</v>
      </c>
      <c r="G44" s="68">
        <f>+IF($G$13="H",(VLOOKUP(D44,'CSO2001'!_xlnm.Print_Area,9)-VLOOKUP($G$14+$G$15,'CSO2001'!_xlnm.Print_Area,9))/VLOOKUP(D44,'CSO2001'!_xlnm.Print_Area,8),(VLOOKUP(D44-3,'CSO2001'!_xlnm.Print_Area,9)-VLOOKUP($G$14+$G$15-3,'CSO2001'!_xlnm.Print_Area,9))/VLOOKUP(D44-3,'CSO2001'!_xlnm.Print_Area,8))</f>
        <v>9.3111342575359437</v>
      </c>
      <c r="H44" s="68">
        <f t="shared" si="6"/>
        <v>24.478865948688576</v>
      </c>
      <c r="I44" s="57">
        <v>0.95</v>
      </c>
      <c r="J44" s="68">
        <f t="shared" si="7"/>
        <v>23.254922651254144</v>
      </c>
      <c r="K44" s="68">
        <f>J44*(VLOOKUP(D44,'CSO2001'!_xlnm.Print_Area,8)-VLOOKUP($G$14+$G$15,'CSO2001'!_xlnm.Print_Area,8))/(VLOOKUP(D44,'CSO2001'!_xlnm.Print_Area,11)-VLOOKUP($G$14+$G$15,'CSO2001'!_xlnm.Print_Area,11))</f>
        <v>144.43700076857263</v>
      </c>
    </row>
    <row r="45" spans="2:11" x14ac:dyDescent="0.2">
      <c r="C45" s="26">
        <f t="shared" si="0"/>
        <v>20</v>
      </c>
      <c r="D45" s="26">
        <f t="shared" si="5"/>
        <v>45</v>
      </c>
      <c r="E45" s="70">
        <f>+IF($G$13="H",(VLOOKUP(D45,'CSO2001'!_xlnm.Print_Area,11)-VLOOKUP($G$14+$G$15,'CSO2001'!_xlnm.Print_Area,11))/VLOOKUP(D45,'CSO2001'!_xlnm.Print_Area,8)*$G$11,(VLOOKUP(D45-3,'CSO2001'!_xlnm.Print_Area,11)-VLOOKUP($G$14+$G$15-3,'CSO2001'!_xlnm.Print_Area,11))/VLOOKUP(D45-3,'CSO2001'!_xlnm.Print_Area,8)*$G$11)</f>
        <v>49.971479553300242</v>
      </c>
      <c r="F45" s="68">
        <f t="shared" si="1"/>
        <v>2.960351449362371</v>
      </c>
      <c r="G45" s="68">
        <f>+IF($G$13="H",(VLOOKUP(D45,'CSO2001'!_xlnm.Print_Area,9)-VLOOKUP($G$14+$G$15,'CSO2001'!_xlnm.Print_Area,9))/VLOOKUP(D45,'CSO2001'!_xlnm.Print_Area,8),(VLOOKUP(D45-3,'CSO2001'!_xlnm.Print_Area,9)-VLOOKUP($G$14+$G$15-3,'CSO2001'!_xlnm.Print_Area,9))/VLOOKUP(D45-3,'CSO2001'!_xlnm.Print_Area,8))</f>
        <v>8.5933291760311672</v>
      </c>
      <c r="H45" s="68">
        <f t="shared" si="6"/>
        <v>24.532205072188425</v>
      </c>
      <c r="I45" s="57">
        <v>0.95</v>
      </c>
      <c r="J45" s="68">
        <f t="shared" si="7"/>
        <v>23.305594818579003</v>
      </c>
      <c r="K45" s="68">
        <f>J45*(VLOOKUP(D45,'CSO2001'!_xlnm.Print_Area,8)-VLOOKUP($G$14+$G$15,'CSO2001'!_xlnm.Print_Area,8))/(VLOOKUP(D45,'CSO2001'!_xlnm.Print_Area,11)-VLOOKUP($G$14+$G$15,'CSO2001'!_xlnm.Print_Area,11))</f>
        <v>140.03585720267679</v>
      </c>
    </row>
    <row r="46" spans="2:11" x14ac:dyDescent="0.2">
      <c r="C46" s="26">
        <f t="shared" si="0"/>
        <v>21</v>
      </c>
      <c r="D46" s="26">
        <f t="shared" si="5"/>
        <v>46</v>
      </c>
      <c r="E46" s="70">
        <f>+IF($G$13="H",(VLOOKUP(D46,'CSO2001'!_xlnm.Print_Area,11)-VLOOKUP($G$14+$G$15,'CSO2001'!_xlnm.Print_Area,11))/VLOOKUP(D46,'CSO2001'!_xlnm.Print_Area,8)*$G$11,(VLOOKUP(D46-3,'CSO2001'!_xlnm.Print_Area,11)-VLOOKUP($G$14+$G$15-3,'CSO2001'!_xlnm.Print_Area,11))/VLOOKUP(D46-3,'CSO2001'!_xlnm.Print_Area,8)*$G$11)</f>
        <v>47.431734494154405</v>
      </c>
      <c r="F46" s="68">
        <f t="shared" si="1"/>
        <v>2.960351449362371</v>
      </c>
      <c r="G46" s="68">
        <f>+IF($G$13="H",(VLOOKUP(D46,'CSO2001'!_xlnm.Print_Area,9)-VLOOKUP($G$14+$G$15,'CSO2001'!_xlnm.Print_Area,9))/VLOOKUP(D46,'CSO2001'!_xlnm.Print_Area,8),(VLOOKUP(D46-3,'CSO2001'!_xlnm.Print_Area,9)-VLOOKUP($G$14+$G$15-3,'CSO2001'!_xlnm.Print_Area,9))/VLOOKUP(D46-3,'CSO2001'!_xlnm.Print_Area,8))</f>
        <v>7.8544318423235548</v>
      </c>
      <c r="H46" s="68">
        <f t="shared" si="6"/>
        <v>24.179855805813911</v>
      </c>
      <c r="I46" s="57">
        <v>0.95</v>
      </c>
      <c r="J46" s="68">
        <f t="shared" si="7"/>
        <v>22.970863015523214</v>
      </c>
      <c r="K46" s="68">
        <f>J46*(VLOOKUP(D46,'CSO2001'!_xlnm.Print_Area,8)-VLOOKUP($G$14+$G$15,'CSO2001'!_xlnm.Print_Area,8))/(VLOOKUP(D46,'CSO2001'!_xlnm.Print_Area,11)-VLOOKUP($G$14+$G$15,'CSO2001'!_xlnm.Print_Area,11))</f>
        <v>133.76253362081303</v>
      </c>
    </row>
    <row r="47" spans="2:11" x14ac:dyDescent="0.2">
      <c r="C47" s="26">
        <f t="shared" si="0"/>
        <v>22</v>
      </c>
      <c r="D47" s="26">
        <f t="shared" si="5"/>
        <v>47</v>
      </c>
      <c r="E47" s="70">
        <f>+IF($G$13="H",(VLOOKUP(D47,'CSO2001'!_xlnm.Print_Area,11)-VLOOKUP($G$14+$G$15,'CSO2001'!_xlnm.Print_Area,11))/VLOOKUP(D47,'CSO2001'!_xlnm.Print_Area,8)*$G$11,(VLOOKUP(D47-3,'CSO2001'!_xlnm.Print_Area,11)-VLOOKUP($G$14+$G$15-3,'CSO2001'!_xlnm.Print_Area,11))/VLOOKUP(D47-3,'CSO2001'!_xlnm.Print_Area,8)*$G$11)</f>
        <v>44.420799036508406</v>
      </c>
      <c r="F47" s="68">
        <f t="shared" si="1"/>
        <v>2.960351449362371</v>
      </c>
      <c r="G47" s="68">
        <f>+IF($G$13="H",(VLOOKUP(D47,'CSO2001'!_xlnm.Print_Area,9)-VLOOKUP($G$14+$G$15,'CSO2001'!_xlnm.Print_Area,9))/VLOOKUP(D47,'CSO2001'!_xlnm.Print_Area,8),(VLOOKUP(D47-3,'CSO2001'!_xlnm.Print_Area,9)-VLOOKUP($G$14+$G$15-3,'CSO2001'!_xlnm.Print_Area,9))/VLOOKUP(D47-3,'CSO2001'!_xlnm.Print_Area,8))</f>
        <v>7.0929762071946429</v>
      </c>
      <c r="H47" s="68">
        <f t="shared" si="6"/>
        <v>23.423096641246932</v>
      </c>
      <c r="I47" s="57">
        <v>0.95</v>
      </c>
      <c r="J47" s="68">
        <f t="shared" si="7"/>
        <v>22.251941809184583</v>
      </c>
      <c r="K47" s="68">
        <f>J47*(VLOOKUP(D47,'CSO2001'!_xlnm.Print_Area,8)-VLOOKUP($G$14+$G$15,'CSO2001'!_xlnm.Print_Area,8))/(VLOOKUP(D47,'CSO2001'!_xlnm.Print_Area,11)-VLOOKUP($G$14+$G$15,'CSO2001'!_xlnm.Print_Area,11))</f>
        <v>125.74091603753644</v>
      </c>
    </row>
    <row r="48" spans="2:11" x14ac:dyDescent="0.2">
      <c r="C48" s="26">
        <f t="shared" si="0"/>
        <v>23</v>
      </c>
      <c r="D48" s="26">
        <f t="shared" si="5"/>
        <v>48</v>
      </c>
      <c r="E48" s="70">
        <f>+IF($G$13="H",(VLOOKUP(D48,'CSO2001'!_xlnm.Print_Area,11)-VLOOKUP($G$14+$G$15,'CSO2001'!_xlnm.Print_Area,11))/VLOOKUP(D48,'CSO2001'!_xlnm.Print_Area,8)*$G$11,(VLOOKUP(D48-3,'CSO2001'!_xlnm.Print_Area,11)-VLOOKUP($G$14+$G$15-3,'CSO2001'!_xlnm.Print_Area,11))/VLOOKUP(D48-3,'CSO2001'!_xlnm.Print_Area,8)*$G$11)</f>
        <v>40.888811057286048</v>
      </c>
      <c r="F48" s="68">
        <f t="shared" si="1"/>
        <v>2.960351449362371</v>
      </c>
      <c r="G48" s="68">
        <f>+IF($G$13="H",(VLOOKUP(D48,'CSO2001'!_xlnm.Print_Area,9)-VLOOKUP($G$14+$G$15,'CSO2001'!_xlnm.Print_Area,9))/VLOOKUP(D48,'CSO2001'!_xlnm.Print_Area,8),(VLOOKUP(D48-3,'CSO2001'!_xlnm.Print_Area,9)-VLOOKUP($G$14+$G$15-3,'CSO2001'!_xlnm.Print_Area,9))/VLOOKUP(D48-3,'CSO2001'!_xlnm.Print_Area,8))</f>
        <v>6.3077584442396679</v>
      </c>
      <c r="H48" s="68">
        <f t="shared" si="6"/>
        <v>22.215629204653414</v>
      </c>
      <c r="I48" s="57">
        <v>0.95</v>
      </c>
      <c r="J48" s="68">
        <f t="shared" si="7"/>
        <v>21.104847744420741</v>
      </c>
      <c r="K48" s="68">
        <f>J48*(VLOOKUP(D48,'CSO2001'!_xlnm.Print_Area,8)-VLOOKUP($G$14+$G$15,'CSO2001'!_xlnm.Print_Area,8))/(VLOOKUP(D48,'CSO2001'!_xlnm.Print_Area,11)-VLOOKUP($G$14+$G$15,'CSO2001'!_xlnm.Print_Area,11))</f>
        <v>115.9328987242404</v>
      </c>
    </row>
    <row r="49" spans="3:11" x14ac:dyDescent="0.2">
      <c r="C49" s="26">
        <f t="shared" si="0"/>
        <v>24</v>
      </c>
      <c r="D49" s="26">
        <f t="shared" si="5"/>
        <v>49</v>
      </c>
      <c r="E49" s="70">
        <f>+IF($G$13="H",(VLOOKUP(D49,'CSO2001'!_xlnm.Print_Area,11)-VLOOKUP($G$14+$G$15,'CSO2001'!_xlnm.Print_Area,11))/VLOOKUP(D49,'CSO2001'!_xlnm.Print_Area,8)*$G$11,(VLOOKUP(D49-3,'CSO2001'!_xlnm.Print_Area,11)-VLOOKUP($G$14+$G$15-3,'CSO2001'!_xlnm.Print_Area,11))/VLOOKUP(D49-3,'CSO2001'!_xlnm.Print_Area,8)*$G$11)</f>
        <v>36.98452895929973</v>
      </c>
      <c r="F49" s="68">
        <f t="shared" si="1"/>
        <v>2.960351449362371</v>
      </c>
      <c r="G49" s="68">
        <f>+IF($G$13="H",(VLOOKUP(D49,'CSO2001'!_xlnm.Print_Area,9)-VLOOKUP($G$14+$G$15,'CSO2001'!_xlnm.Print_Area,9))/VLOOKUP(D49,'CSO2001'!_xlnm.Print_Area,8),(VLOOKUP(D49-3,'CSO2001'!_xlnm.Print_Area,9)-VLOOKUP($G$14+$G$15-3,'CSO2001'!_xlnm.Print_Area,9))/VLOOKUP(D49-3,'CSO2001'!_xlnm.Print_Area,8))</f>
        <v>5.496275352645756</v>
      </c>
      <c r="H49" s="68">
        <f t="shared" si="6"/>
        <v>20.713622253000189</v>
      </c>
      <c r="I49" s="57">
        <v>0.95</v>
      </c>
      <c r="J49" s="68">
        <f t="shared" si="7"/>
        <v>19.677941140350178</v>
      </c>
      <c r="K49" s="68">
        <f>J49*(VLOOKUP(D49,'CSO2001'!_xlnm.Print_Area,8)-VLOOKUP($G$14+$G$15,'CSO2001'!_xlnm.Print_Area,8))/(VLOOKUP(D49,'CSO2001'!_xlnm.Print_Area,11)-VLOOKUP($G$14+$G$15,'CSO2001'!_xlnm.Print_Area,11))</f>
        <v>104.85292840041302</v>
      </c>
    </row>
    <row r="50" spans="3:11" x14ac:dyDescent="0.2">
      <c r="C50" s="26">
        <f t="shared" si="0"/>
        <v>25</v>
      </c>
      <c r="D50" s="26">
        <f t="shared" si="5"/>
        <v>50</v>
      </c>
      <c r="E50" s="70">
        <f>+IF($G$13="H",(VLOOKUP(D50,'CSO2001'!_xlnm.Print_Area,11)-VLOOKUP($G$14+$G$15,'CSO2001'!_xlnm.Print_Area,11))/VLOOKUP(D50,'CSO2001'!_xlnm.Print_Area,8)*$G$11,(VLOOKUP(D50-3,'CSO2001'!_xlnm.Print_Area,11)-VLOOKUP($G$14+$G$15-3,'CSO2001'!_xlnm.Print_Area,11))/VLOOKUP(D50-3,'CSO2001'!_xlnm.Print_Area,8)*$G$11)</f>
        <v>32.64592668718096</v>
      </c>
      <c r="F50" s="68">
        <f t="shared" si="1"/>
        <v>2.960351449362371</v>
      </c>
      <c r="G50" s="68">
        <f>+IF($G$13="H",(VLOOKUP(D50,'CSO2001'!_xlnm.Print_Area,9)-VLOOKUP($G$14+$G$15,'CSO2001'!_xlnm.Print_Area,9))/VLOOKUP(D50,'CSO2001'!_xlnm.Print_Area,8),(VLOOKUP(D50-3,'CSO2001'!_xlnm.Print_Area,9)-VLOOKUP($G$14+$G$15-3,'CSO2001'!_xlnm.Print_Area,9))/VLOOKUP(D50-3,'CSO2001'!_xlnm.Print_Area,8))</f>
        <v>4.6573940565516248</v>
      </c>
      <c r="H50" s="68">
        <f t="shared" si="6"/>
        <v>18.858403441616666</v>
      </c>
      <c r="I50" s="57">
        <v>0.95</v>
      </c>
      <c r="J50" s="68">
        <f t="shared" si="7"/>
        <v>17.91548326953583</v>
      </c>
      <c r="K50" s="68">
        <f>J50*(VLOOKUP(D50,'CSO2001'!_xlnm.Print_Area,8)-VLOOKUP($G$14+$G$15,'CSO2001'!_xlnm.Print_Area,8))/(VLOOKUP(D50,'CSO2001'!_xlnm.Print_Area,11)-VLOOKUP($G$14+$G$15,'CSO2001'!_xlnm.Print_Area,11))</f>
        <v>92.358941763779683</v>
      </c>
    </row>
    <row r="51" spans="3:11" x14ac:dyDescent="0.2">
      <c r="C51" s="26">
        <f t="shared" si="0"/>
        <v>26</v>
      </c>
      <c r="D51" s="26">
        <f t="shared" si="5"/>
        <v>51</v>
      </c>
      <c r="E51" s="70">
        <f>+IF($G$13="H",(VLOOKUP(D51,'CSO2001'!_xlnm.Print_Area,11)-VLOOKUP($G$14+$G$15,'CSO2001'!_xlnm.Print_Area,11))/VLOOKUP(D51,'CSO2001'!_xlnm.Print_Area,8)*$G$11,(VLOOKUP(D51-3,'CSO2001'!_xlnm.Print_Area,11)-VLOOKUP($G$14+$G$15-3,'CSO2001'!_xlnm.Print_Area,11))/VLOOKUP(D51-3,'CSO2001'!_xlnm.Print_Area,8)*$G$11)</f>
        <v>27.776407354440678</v>
      </c>
      <c r="F51" s="68">
        <f t="shared" si="1"/>
        <v>2.960351449362371</v>
      </c>
      <c r="G51" s="68">
        <f>+IF($G$13="H",(VLOOKUP(D51,'CSO2001'!_xlnm.Print_Area,9)-VLOOKUP($G$14+$G$15,'CSO2001'!_xlnm.Print_Area,9))/VLOOKUP(D51,'CSO2001'!_xlnm.Print_Area,8),(VLOOKUP(D51-3,'CSO2001'!_xlnm.Print_Area,9)-VLOOKUP($G$14+$G$15-3,'CSO2001'!_xlnm.Print_Area,9))/VLOOKUP(D51-3,'CSO2001'!_xlnm.Print_Area,8))</f>
        <v>3.7899160129822818</v>
      </c>
      <c r="H51" s="68">
        <f t="shared" si="6"/>
        <v>16.556923992446922</v>
      </c>
      <c r="I51" s="57">
        <v>0.95</v>
      </c>
      <c r="J51" s="68">
        <f t="shared" si="7"/>
        <v>15.729077792824576</v>
      </c>
      <c r="K51" s="68">
        <f>J51*(VLOOKUP(D51,'CSO2001'!_xlnm.Print_Area,8)-VLOOKUP($G$14+$G$15,'CSO2001'!_xlnm.Print_Area,8))/(VLOOKUP(D51,'CSO2001'!_xlnm.Print_Area,11)-VLOOKUP($G$14+$G$15,'CSO2001'!_xlnm.Print_Area,11))</f>
        <v>78.237826240228316</v>
      </c>
    </row>
    <row r="52" spans="3:11" x14ac:dyDescent="0.2">
      <c r="C52" s="26">
        <f t="shared" si="0"/>
        <v>27</v>
      </c>
      <c r="D52" s="26">
        <f t="shared" si="5"/>
        <v>52</v>
      </c>
      <c r="E52" s="70">
        <f>+IF($G$13="H",(VLOOKUP(D52,'CSO2001'!_xlnm.Print_Area,11)-VLOOKUP($G$14+$G$15,'CSO2001'!_xlnm.Print_Area,11))/VLOOKUP(D52,'CSO2001'!_xlnm.Print_Area,8)*$G$11,(VLOOKUP(D52-3,'CSO2001'!_xlnm.Print_Area,11)-VLOOKUP($G$14+$G$15-3,'CSO2001'!_xlnm.Print_Area,11))/VLOOKUP(D52-3,'CSO2001'!_xlnm.Print_Area,8)*$G$11)</f>
        <v>22.258289423166833</v>
      </c>
      <c r="F52" s="68">
        <f t="shared" si="1"/>
        <v>2.960351449362371</v>
      </c>
      <c r="G52" s="68">
        <f>+IF($G$13="H",(VLOOKUP(D52,'CSO2001'!_xlnm.Print_Area,9)-VLOOKUP($G$14+$G$15,'CSO2001'!_xlnm.Print_Area,9))/VLOOKUP(D52,'CSO2001'!_xlnm.Print_Area,8),(VLOOKUP(D52-3,'CSO2001'!_xlnm.Print_Area,9)-VLOOKUP($G$14+$G$15-3,'CSO2001'!_xlnm.Print_Area,9))/VLOOKUP(D52-3,'CSO2001'!_xlnm.Print_Area,8))</f>
        <v>2.892402540273352</v>
      </c>
      <c r="H52" s="68">
        <f t="shared" si="6"/>
        <v>13.695761370929212</v>
      </c>
      <c r="I52" s="57">
        <v>0.95</v>
      </c>
      <c r="J52" s="68">
        <f t="shared" si="7"/>
        <v>13.01097330238275</v>
      </c>
      <c r="K52" s="68">
        <f>J52*(VLOOKUP(D52,'CSO2001'!_xlnm.Print_Area,8)-VLOOKUP($G$14+$G$15,'CSO2001'!_xlnm.Print_Area,8))/(VLOOKUP(D52,'CSO2001'!_xlnm.Print_Area,11)-VLOOKUP($G$14+$G$15,'CSO2001'!_xlnm.Print_Area,11))</f>
        <v>62.255817166118341</v>
      </c>
    </row>
    <row r="53" spans="3:11" x14ac:dyDescent="0.2">
      <c r="C53" s="26">
        <f t="shared" si="0"/>
        <v>28</v>
      </c>
      <c r="D53" s="26">
        <f t="shared" si="5"/>
        <v>53</v>
      </c>
      <c r="E53" s="70">
        <f>+IF($G$13="H",(VLOOKUP(D53,'CSO2001'!_xlnm.Print_Area,11)-VLOOKUP($G$14+$G$15,'CSO2001'!_xlnm.Print_Area,11))/VLOOKUP(D53,'CSO2001'!_xlnm.Print_Area,8)*$G$11,(VLOOKUP(D53-3,'CSO2001'!_xlnm.Print_Area,11)-VLOOKUP($G$14+$G$15-3,'CSO2001'!_xlnm.Print_Area,11))/VLOOKUP(D53-3,'CSO2001'!_xlnm.Print_Area,8)*$G$11)</f>
        <v>15.887666698086521</v>
      </c>
      <c r="F53" s="68">
        <f t="shared" si="1"/>
        <v>2.960351449362371</v>
      </c>
      <c r="G53" s="68">
        <f>+IF($G$13="H",(VLOOKUP(D53,'CSO2001'!_xlnm.Print_Area,9)-VLOOKUP($G$14+$G$15,'CSO2001'!_xlnm.Print_Area,9))/VLOOKUP(D53,'CSO2001'!_xlnm.Print_Area,8),(VLOOKUP(D53-3,'CSO2001'!_xlnm.Print_Area,9)-VLOOKUP($G$14+$G$15-3,'CSO2001'!_xlnm.Print_Area,9))/VLOOKUP(D53-3,'CSO2001'!_xlnm.Print_Area,8))</f>
        <v>1.9632155339805835</v>
      </c>
      <c r="H53" s="68">
        <f t="shared" si="6"/>
        <v>10.07585874665638</v>
      </c>
      <c r="I53" s="57">
        <v>0.95</v>
      </c>
      <c r="J53" s="68">
        <f t="shared" si="7"/>
        <v>9.5720658093235595</v>
      </c>
      <c r="K53" s="68">
        <f>J53*(VLOOKUP(D53,'CSO2001'!_xlnm.Print_Area,8)-VLOOKUP($G$14+$G$15,'CSO2001'!_xlnm.Print_Area,8))/(VLOOKUP(D53,'CSO2001'!_xlnm.Print_Area,11)-VLOOKUP($G$14+$G$15,'CSO2001'!_xlnm.Print_Area,11))</f>
        <v>44.022727456634165</v>
      </c>
    </row>
    <row r="54" spans="3:11" x14ac:dyDescent="0.2">
      <c r="C54" s="26">
        <f t="shared" si="0"/>
        <v>29</v>
      </c>
      <c r="D54" s="26">
        <f t="shared" si="5"/>
        <v>54</v>
      </c>
      <c r="E54" s="70">
        <f>+IF($G$13="H",(VLOOKUP(D54,'CSO2001'!_xlnm.Print_Area,11)-VLOOKUP($G$14+$G$15,'CSO2001'!_xlnm.Print_Area,11))/VLOOKUP(D54,'CSO2001'!_xlnm.Print_Area,8)*$G$11,(VLOOKUP(D54-3,'CSO2001'!_xlnm.Print_Area,11)-VLOOKUP($G$14+$G$15-3,'CSO2001'!_xlnm.Print_Area,11))/VLOOKUP(D54-3,'CSO2001'!_xlnm.Print_Area,8)*$G$11)</f>
        <v>8.5436893203883297</v>
      </c>
      <c r="F54" s="68">
        <f t="shared" si="1"/>
        <v>2.960351449362371</v>
      </c>
      <c r="G54" s="68">
        <f>+IF($G$13="H",(VLOOKUP(D54,'CSO2001'!_xlnm.Print_Area,9)-VLOOKUP($G$14+$G$15,'CSO2001'!_xlnm.Print_Area,9))/VLOOKUP(D54,'CSO2001'!_xlnm.Print_Area,8),(VLOOKUP(D54-3,'CSO2001'!_xlnm.Print_Area,9)-VLOOKUP($G$14+$G$15-3,'CSO2001'!_xlnm.Print_Area,9))/VLOOKUP(D54-3,'CSO2001'!_xlnm.Print_Area,8))</f>
        <v>0.99999999999999956</v>
      </c>
      <c r="H54" s="68">
        <f t="shared" si="6"/>
        <v>5.58333787102596</v>
      </c>
      <c r="I54" s="57">
        <v>0.95</v>
      </c>
      <c r="J54" s="68">
        <f t="shared" si="7"/>
        <v>5.3041709774746622</v>
      </c>
      <c r="K54" s="68">
        <f>J54*(VLOOKUP(D54,'CSO2001'!_xlnm.Print_Area,8)-VLOOKUP($G$14+$G$15,'CSO2001'!_xlnm.Print_Area,8))/(VLOOKUP(D54,'CSO2001'!_xlnm.Print_Area,11)-VLOOKUP($G$14+$G$15,'CSO2001'!_xlnm.Print_Area,11))</f>
        <v>23.386572037047468</v>
      </c>
    </row>
    <row r="55" spans="3:11" x14ac:dyDescent="0.2">
      <c r="C55" s="26">
        <f t="shared" si="0"/>
        <v>30</v>
      </c>
      <c r="D55" s="26">
        <f t="shared" si="5"/>
        <v>55</v>
      </c>
      <c r="E55" s="70">
        <f>+IF($G$13="H",(VLOOKUP(D55,'CSO2001'!_xlnm.Print_Area,11)-VLOOKUP($G$14+$G$15,'CSO2001'!_xlnm.Print_Area,11))/VLOOKUP(D55,'CSO2001'!_xlnm.Print_Area,8)*$G$11,(VLOOKUP(D55-3,'CSO2001'!_xlnm.Print_Area,11)-VLOOKUP($G$14+$G$15-3,'CSO2001'!_xlnm.Print_Area,11))/VLOOKUP(D55-3,'CSO2001'!_xlnm.Print_Area,8)*$G$11)</f>
        <v>0</v>
      </c>
      <c r="F55" s="68">
        <f t="shared" si="1"/>
        <v>2.960351449362371</v>
      </c>
      <c r="G55" s="68">
        <f>+IF($G$13="H",(VLOOKUP(D55,'CSO2001'!_xlnm.Print_Area,9)-VLOOKUP($G$14+$G$15,'CSO2001'!_xlnm.Print_Area,9))/VLOOKUP(D55,'CSO2001'!_xlnm.Print_Area,8),(VLOOKUP(D55-3,'CSO2001'!_xlnm.Print_Area,9)-VLOOKUP($G$14+$G$15-3,'CSO2001'!_xlnm.Print_Area,9))/VLOOKUP(D55-3,'CSO2001'!_xlnm.Print_Area,8))</f>
        <v>0</v>
      </c>
      <c r="H55" s="68">
        <f t="shared" si="6"/>
        <v>0</v>
      </c>
      <c r="I55" s="57">
        <v>0.95</v>
      </c>
      <c r="J55" s="68">
        <f t="shared" si="7"/>
        <v>0</v>
      </c>
      <c r="K55" s="68" t="e">
        <f>J55*(VLOOKUP(D55,'CSO2001'!_xlnm.Print_Area,8)-VLOOKUP($G$14+$G$15,'CSO2001'!_xlnm.Print_Area,8))/(VLOOKUP(D55,'CSO2001'!_xlnm.Print_Area,11)-VLOOKUP($G$14+$G$15,'CSO2001'!_xlnm.Print_Area,11))</f>
        <v>#DIV/0!</v>
      </c>
    </row>
  </sheetData>
  <mergeCells count="7">
    <mergeCell ref="B26:B40"/>
    <mergeCell ref="B5:Q5"/>
    <mergeCell ref="B6:O6"/>
    <mergeCell ref="C15:E15"/>
    <mergeCell ref="B21:G21"/>
    <mergeCell ref="B22:G22"/>
    <mergeCell ref="L24:O24"/>
  </mergeCells>
  <dataValidations count="1">
    <dataValidation allowBlank="1" showInputMessage="1" showErrorMessage="1" prompt="CELDA PROTEGIDA!!!!" sqref="G24" xr:uid="{00000000-0002-0000-0C00-000000000000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2769" r:id="rId3">
          <objectPr defaultSize="0" autoPict="0" r:id="rId4">
            <anchor moveWithCells="1" sizeWithCells="1">
              <from>
                <xdr:col>3</xdr:col>
                <xdr:colOff>1219200</xdr:colOff>
                <xdr:row>21</xdr:row>
                <xdr:rowOff>142875</xdr:rowOff>
              </from>
              <to>
                <xdr:col>5</xdr:col>
                <xdr:colOff>28575</xdr:colOff>
                <xdr:row>25</xdr:row>
                <xdr:rowOff>114300</xdr:rowOff>
              </to>
            </anchor>
          </objectPr>
        </oleObject>
      </mc:Choice>
      <mc:Fallback>
        <oleObject progId="Equation.3" shapeId="32769" r:id="rId3"/>
      </mc:Fallback>
    </mc:AlternateContent>
    <mc:AlternateContent xmlns:mc="http://schemas.openxmlformats.org/markup-compatibility/2006">
      <mc:Choice Requires="x14">
        <oleObject progId="Equation.3" shapeId="32770" r:id="rId5">
          <objectPr defaultSize="0" autoPict="0" r:id="rId6">
            <anchor moveWithCells="1" sizeWithCells="1">
              <from>
                <xdr:col>5</xdr:col>
                <xdr:colOff>66675</xdr:colOff>
                <xdr:row>23</xdr:row>
                <xdr:rowOff>114300</xdr:rowOff>
              </from>
              <to>
                <xdr:col>5</xdr:col>
                <xdr:colOff>1028700</xdr:colOff>
                <xdr:row>25</xdr:row>
                <xdr:rowOff>9525</xdr:rowOff>
              </to>
            </anchor>
          </objectPr>
        </oleObject>
      </mc:Choice>
      <mc:Fallback>
        <oleObject progId="Equation.3" shapeId="32770" r:id="rId5"/>
      </mc:Fallback>
    </mc:AlternateContent>
    <mc:AlternateContent xmlns:mc="http://schemas.openxmlformats.org/markup-compatibility/2006">
      <mc:Choice Requires="x14">
        <oleObject progId="Equation.3" shapeId="32771" r:id="rId7">
          <objectPr defaultSize="0" autoPict="0" r:id="rId8">
            <anchor moveWithCells="1" sizeWithCells="1">
              <from>
                <xdr:col>6</xdr:col>
                <xdr:colOff>28575</xdr:colOff>
                <xdr:row>23</xdr:row>
                <xdr:rowOff>47625</xdr:rowOff>
              </from>
              <to>
                <xdr:col>6</xdr:col>
                <xdr:colOff>1800225</xdr:colOff>
                <xdr:row>25</xdr:row>
                <xdr:rowOff>28575</xdr:rowOff>
              </to>
            </anchor>
          </objectPr>
        </oleObject>
      </mc:Choice>
      <mc:Fallback>
        <oleObject progId="Equation.3" shapeId="32771" r:id="rId7"/>
      </mc:Fallback>
    </mc:AlternateContent>
    <mc:AlternateContent xmlns:mc="http://schemas.openxmlformats.org/markup-compatibility/2006">
      <mc:Choice Requires="x14">
        <oleObject progId="Equation.3" shapeId="32772" r:id="rId9">
          <objectPr defaultSize="0" autoPict="0" r:id="rId10">
            <anchor moveWithCells="1" sizeWithCells="1">
              <from>
                <xdr:col>4</xdr:col>
                <xdr:colOff>142875</xdr:colOff>
                <xdr:row>15</xdr:row>
                <xdr:rowOff>133350</xdr:rowOff>
              </from>
              <to>
                <xdr:col>7</xdr:col>
                <xdr:colOff>190500</xdr:colOff>
                <xdr:row>20</xdr:row>
                <xdr:rowOff>38100</xdr:rowOff>
              </to>
            </anchor>
          </objectPr>
        </oleObject>
      </mc:Choice>
      <mc:Fallback>
        <oleObject progId="Equation.3" shapeId="32772" r:id="rId9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Q50"/>
  <sheetViews>
    <sheetView topLeftCell="A8" workbookViewId="0">
      <selection activeCell="E8" sqref="E8"/>
    </sheetView>
  </sheetViews>
  <sheetFormatPr defaultColWidth="11.42578125" defaultRowHeight="12.75" x14ac:dyDescent="0.2"/>
  <cols>
    <col min="1" max="1" width="10.28515625" customWidth="1"/>
    <col min="2" max="2" width="3.5703125" customWidth="1"/>
    <col min="3" max="3" width="20.28515625" customWidth="1"/>
    <col min="4" max="4" width="21.85546875" customWidth="1"/>
    <col min="5" max="5" width="27.140625" customWidth="1"/>
    <col min="6" max="6" width="16.85546875" customWidth="1"/>
    <col min="7" max="7" width="29.42578125" customWidth="1"/>
    <col min="8" max="8" width="13.28515625" customWidth="1"/>
    <col min="9" max="9" width="4.7109375" customWidth="1"/>
    <col min="10" max="10" width="19.42578125" customWidth="1"/>
    <col min="11" max="11" width="24.5703125" customWidth="1"/>
    <col min="12" max="12" width="13.7109375" hidden="1" customWidth="1"/>
    <col min="13" max="13" width="12.85546875" hidden="1" customWidth="1"/>
    <col min="14" max="14" width="13" hidden="1" customWidth="1"/>
    <col min="15" max="15" width="0.42578125" customWidth="1"/>
    <col min="16" max="16" width="2" hidden="1" customWidth="1"/>
    <col min="17" max="17" width="11.42578125" hidden="1" customWidth="1"/>
  </cols>
  <sheetData>
    <row r="3" spans="2:17" x14ac:dyDescent="0.2">
      <c r="J3" s="1" t="s">
        <v>48</v>
      </c>
    </row>
    <row r="4" spans="2:17" x14ac:dyDescent="0.2">
      <c r="O4" s="1"/>
    </row>
    <row r="5" spans="2:17" ht="18" x14ac:dyDescent="0.25">
      <c r="B5" s="173" t="s">
        <v>65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2:17" ht="15" x14ac:dyDescent="0.25">
      <c r="B6" s="174" t="s">
        <v>35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2:17" ht="15.75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7" ht="15.75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10" spans="2:17" ht="6" customHeight="1" x14ac:dyDescent="0.2"/>
    <row r="11" spans="2:17" ht="18" x14ac:dyDescent="0.25">
      <c r="B11" s="50"/>
      <c r="C11" s="51" t="s">
        <v>25</v>
      </c>
      <c r="D11" s="51"/>
      <c r="E11" s="51"/>
      <c r="F11" s="51" t="s">
        <v>26</v>
      </c>
      <c r="G11" s="52">
        <v>1000</v>
      </c>
    </row>
    <row r="12" spans="2:17" ht="0.75" customHeight="1" x14ac:dyDescent="0.25">
      <c r="B12" s="46"/>
      <c r="C12" s="46"/>
      <c r="D12" s="46"/>
      <c r="E12" s="46"/>
      <c r="F12" s="46"/>
      <c r="G12" s="40">
        <v>1</v>
      </c>
      <c r="H12" s="41" t="s">
        <v>17</v>
      </c>
    </row>
    <row r="13" spans="2:17" ht="18" x14ac:dyDescent="0.25">
      <c r="B13" s="50"/>
      <c r="C13" s="53" t="s">
        <v>27</v>
      </c>
      <c r="D13" s="50"/>
      <c r="E13" s="50"/>
      <c r="F13" s="51" t="s">
        <v>26</v>
      </c>
      <c r="G13" s="40" t="s">
        <v>52</v>
      </c>
      <c r="H13" s="41"/>
    </row>
    <row r="14" spans="2:17" ht="18" x14ac:dyDescent="0.25">
      <c r="B14" s="50"/>
      <c r="C14" s="53" t="s">
        <v>28</v>
      </c>
      <c r="D14" s="50"/>
      <c r="E14" s="50"/>
      <c r="F14" s="51" t="s">
        <v>26</v>
      </c>
      <c r="G14" s="40">
        <v>25</v>
      </c>
      <c r="H14" s="41" t="s">
        <v>17</v>
      </c>
      <c r="I14" s="82"/>
    </row>
    <row r="15" spans="2:17" ht="18" x14ac:dyDescent="0.25">
      <c r="B15" s="46"/>
      <c r="C15" s="175" t="s">
        <v>33</v>
      </c>
      <c r="D15" s="175"/>
      <c r="E15" s="175"/>
      <c r="F15" s="51"/>
      <c r="G15" s="88">
        <v>25</v>
      </c>
      <c r="H15" s="40"/>
      <c r="I15" s="82"/>
    </row>
    <row r="16" spans="2:17" ht="18" x14ac:dyDescent="0.25">
      <c r="B16" s="46"/>
      <c r="C16" s="54" t="s">
        <v>34</v>
      </c>
      <c r="D16" s="46"/>
      <c r="E16" s="46"/>
      <c r="F16" s="46"/>
      <c r="G16" s="46"/>
      <c r="H16" s="40"/>
      <c r="I16" s="82"/>
    </row>
    <row r="17" spans="2:16" ht="18" x14ac:dyDescent="0.25">
      <c r="B17" s="46"/>
      <c r="C17" s="46"/>
      <c r="D17" s="46"/>
      <c r="E17" s="46"/>
      <c r="F17" s="46"/>
      <c r="H17" s="40"/>
      <c r="I17" s="41"/>
    </row>
    <row r="18" spans="2:16" ht="18" x14ac:dyDescent="0.25">
      <c r="B18" s="46"/>
      <c r="C18" s="46"/>
      <c r="D18" s="46"/>
      <c r="E18" s="46"/>
      <c r="F18" s="46"/>
      <c r="G18" s="46"/>
      <c r="H18" s="40"/>
      <c r="I18" s="41"/>
    </row>
    <row r="19" spans="2:16" ht="18" x14ac:dyDescent="0.25">
      <c r="B19" s="46"/>
      <c r="C19" s="46" t="s">
        <v>29</v>
      </c>
      <c r="D19" s="46"/>
      <c r="F19" s="46"/>
      <c r="G19" s="46"/>
      <c r="H19" s="40"/>
      <c r="I19" s="41"/>
    </row>
    <row r="20" spans="2:16" ht="18" x14ac:dyDescent="0.25">
      <c r="B20" s="46"/>
      <c r="C20" s="46"/>
      <c r="D20" s="46"/>
      <c r="E20" s="46"/>
      <c r="F20" s="46"/>
      <c r="G20" s="46"/>
      <c r="H20" s="40"/>
      <c r="I20" s="41"/>
    </row>
    <row r="21" spans="2:16" x14ac:dyDescent="0.2">
      <c r="B21" s="176"/>
      <c r="C21" s="176"/>
      <c r="D21" s="176"/>
      <c r="E21" s="176"/>
      <c r="F21" s="176"/>
      <c r="G21" s="176"/>
      <c r="H21" s="55"/>
      <c r="I21" s="55"/>
      <c r="J21" s="69"/>
      <c r="K21" s="55"/>
    </row>
    <row r="22" spans="2:16" x14ac:dyDescent="0.2">
      <c r="B22" s="177"/>
      <c r="C22" s="177"/>
      <c r="D22" s="177"/>
      <c r="E22" s="177"/>
      <c r="F22" s="177"/>
      <c r="G22" s="177"/>
      <c r="H22" s="30"/>
      <c r="I22" s="30"/>
      <c r="J22" s="30"/>
      <c r="K22" s="30"/>
    </row>
    <row r="23" spans="2:16" x14ac:dyDescent="0.2">
      <c r="G23" s="45">
        <v>0.4</v>
      </c>
      <c r="H23" s="30"/>
      <c r="I23" s="30"/>
      <c r="J23" s="30"/>
      <c r="K23" s="30"/>
      <c r="L23" s="31"/>
      <c r="M23" s="31"/>
      <c r="N23" s="31"/>
      <c r="O23" s="31"/>
    </row>
    <row r="24" spans="2:16" ht="18" x14ac:dyDescent="0.25">
      <c r="F24" s="2"/>
      <c r="G24" s="39"/>
      <c r="K24" s="49"/>
      <c r="L24" s="177"/>
      <c r="M24" s="177"/>
      <c r="N24" s="177"/>
      <c r="O24" s="177"/>
      <c r="P24" s="32"/>
    </row>
    <row r="25" spans="2:16" ht="54.75" customHeight="1" x14ac:dyDescent="0.3">
      <c r="B25" s="56"/>
      <c r="C25" s="58" t="s">
        <v>30</v>
      </c>
      <c r="D25" s="58" t="s">
        <v>31</v>
      </c>
      <c r="E25" s="58"/>
      <c r="F25" s="58"/>
      <c r="G25" s="58"/>
      <c r="H25" s="58" t="s">
        <v>36</v>
      </c>
      <c r="I25" s="59"/>
      <c r="J25" s="59" t="s">
        <v>32</v>
      </c>
      <c r="K25" s="60" t="s">
        <v>37</v>
      </c>
      <c r="L25" s="56"/>
      <c r="M25" s="56"/>
      <c r="N25" s="56"/>
      <c r="O25" s="56"/>
      <c r="P25" s="32"/>
    </row>
    <row r="26" spans="2:16" x14ac:dyDescent="0.2">
      <c r="B26" s="144">
        <f>G14</f>
        <v>25</v>
      </c>
      <c r="C26" s="26">
        <v>1</v>
      </c>
      <c r="D26" s="26">
        <f>$G$14+C26</f>
        <v>26</v>
      </c>
      <c r="E26" s="70">
        <f>+IF($G$13="H",(VLOOKUP(D26,'CSO2001'!_xlnm.Print_Area,11)-VLOOKUP($G$14+$G$15,'CSO2001'!_xlnm.Print_Area,11))/VLOOKUP(D26,'CSO2001'!_xlnm.Print_Area,8)*$G$11,(VLOOKUP(D26-3,'CSO2001'!_xlnm.Print_Area,11)-VLOOKUP($G$14+$G$15-3,'CSO2001'!_xlnm.Print_Area,11))/VLOOKUP(D26-3,'CSO2001'!_xlnm.Print_Area,8)*$G$11)</f>
        <v>43.225593734952909</v>
      </c>
      <c r="F26" s="68">
        <f>+IF($G$13="H",(VLOOKUP(G14,'CSO2001'!_xlnm.Print_Area,11)-VLOOKUP($G$14+$G$15,'CSO2001'!_xlnm.Print_Area,11))/(VLOOKUP(G14,'CSO2001'!_xlnm.Print_Area,9)-VLOOKUP($G$14+$G$15,'CSO2001'!_xlnm.Print_Area,9))*$G$11,(VLOOKUP($G$14-3,'CSO2001'!_xlnm.Print_Area,11)-VLOOKUP($G$14+$G$15-3,'CSO2001'!_xlnm.Print_Area,11))/(VLOOKUP($G$14-3,'CSO2001'!_xlnm.Print_Area,9)-VLOOKUP($G$14+$G$15-3,'CSO2001'!_xlnm.Print_Area,9))*$G$11)</f>
        <v>2.4818757838205388</v>
      </c>
      <c r="G26" s="68">
        <f>+IF($G$13="H",(VLOOKUP(D26,'CSO2001'!_xlnm.Print_Area,9)-VLOOKUP($G$14+$G$15,'CSO2001'!_xlnm.Print_Area,9))/VLOOKUP(D26,'CSO2001'!_xlnm.Print_Area,8),(VLOOKUP(D26-3,'CSO2001'!_xlnm.Print_Area,9)-VLOOKUP($G$14+$G$15-3,'CSO2001'!_xlnm.Print_Area,9))/VLOOKUP(D26-3,'CSO2001'!_xlnm.Print_Area,8))</f>
        <v>17.075719090567556</v>
      </c>
      <c r="H26" s="68">
        <f>+IF(C26&gt;1,E26-F26*G26,0)</f>
        <v>0</v>
      </c>
      <c r="I26" s="57">
        <v>0</v>
      </c>
      <c r="J26" s="68">
        <f>+I26*H26</f>
        <v>0</v>
      </c>
      <c r="K26" s="68">
        <f>J26*(VLOOKUP(D26,'CSO2001'!_xlnm.Print_Area,8)-VLOOKUP($G$14+$G$15,'CSO2001'!_xlnm.Print_Area,8))/(VLOOKUP(D26,'CSO2001'!_xlnm.Print_Area,11)-VLOOKUP($G$14+$G$15,'CSO2001'!_xlnm.Print_Area,11))</f>
        <v>0</v>
      </c>
      <c r="L26" s="25"/>
      <c r="M26" s="25"/>
      <c r="N26" s="25"/>
      <c r="O26" s="25"/>
    </row>
    <row r="27" spans="2:16" x14ac:dyDescent="0.2">
      <c r="B27" s="144"/>
      <c r="C27" s="26">
        <f t="shared" ref="C27:C50" si="0">+C26+1</f>
        <v>2</v>
      </c>
      <c r="D27" s="26">
        <f>+$G$14+C27</f>
        <v>27</v>
      </c>
      <c r="E27" s="70">
        <f>+IF($G$13="H",(VLOOKUP(D27,'CSO2001'!_xlnm.Print_Area,11)-VLOOKUP($G$14+$G$15,'CSO2001'!_xlnm.Print_Area,11))/VLOOKUP(D27,'CSO2001'!_xlnm.Print_Area,8)*$G$11,(VLOOKUP(D27-3,'CSO2001'!_xlnm.Print_Area,11)-VLOOKUP($G$14+$G$15-3,'CSO2001'!_xlnm.Print_Area,11))/VLOOKUP(D27-3,'CSO2001'!_xlnm.Print_Area,8)*$G$11)</f>
        <v>42.807071819702415</v>
      </c>
      <c r="F27" s="68">
        <f>F26</f>
        <v>2.4818757838205388</v>
      </c>
      <c r="G27" s="68">
        <f>+IF($G$13="H",(VLOOKUP(D27,'CSO2001'!_xlnm.Print_Area,9)-VLOOKUP($G$14+$G$15,'CSO2001'!_xlnm.Print_Area,9))/VLOOKUP(D27,'CSO2001'!_xlnm.Print_Area,8),(VLOOKUP(D27-3,'CSO2001'!_xlnm.Print_Area,9)-VLOOKUP($G$14+$G$15-3,'CSO2001'!_xlnm.Print_Area,9))/VLOOKUP(D27-3,'CSO2001'!_xlnm.Print_Area,8))</f>
        <v>16.587715850087939</v>
      </c>
      <c r="H27" s="68">
        <f>+IF(C27&gt;1,E27-F27*G27,0)</f>
        <v>1.6384215424730399</v>
      </c>
      <c r="I27" s="57">
        <v>0.95</v>
      </c>
      <c r="J27" s="68">
        <f>+I27*H27</f>
        <v>1.5565004653493879</v>
      </c>
      <c r="K27" s="68">
        <f>J27*(VLOOKUP(D27,'CSO2001'!_xlnm.Print_Area,8)-VLOOKUP($G$14+$G$15,'CSO2001'!_xlnm.Print_Area,8))/(VLOOKUP(D27,'CSO2001'!_xlnm.Print_Area,11)-VLOOKUP($G$14+$G$15,'CSO2001'!_xlnm.Print_Area,11))</f>
        <v>19.123773481121653</v>
      </c>
      <c r="L27" s="25"/>
      <c r="M27" s="25"/>
      <c r="N27" s="25"/>
      <c r="O27" s="25"/>
    </row>
    <row r="28" spans="2:16" x14ac:dyDescent="0.2">
      <c r="B28" s="144"/>
      <c r="C28" s="26">
        <f t="shared" si="0"/>
        <v>3</v>
      </c>
      <c r="D28" s="26">
        <f>+$G$14+C28</f>
        <v>28</v>
      </c>
      <c r="E28" s="70">
        <f>+IF($G$13="H",(VLOOKUP(D28,'CSO2001'!_xlnm.Print_Area,11)-VLOOKUP($G$14+$G$15,'CSO2001'!_xlnm.Print_Area,11))/VLOOKUP(D28,'CSO2001'!_xlnm.Print_Area,8)*$G$11,(VLOOKUP(D28-3,'CSO2001'!_xlnm.Print_Area,11)-VLOOKUP($G$14+$G$15-3,'CSO2001'!_xlnm.Print_Area,11))/VLOOKUP(D28-3,'CSO2001'!_xlnm.Print_Area,8)*$G$11)</f>
        <v>42.298466703963314</v>
      </c>
      <c r="F28" s="68">
        <f t="shared" ref="F28:F50" si="1">F27</f>
        <v>2.4818757838205388</v>
      </c>
      <c r="G28" s="68">
        <f>+IF($G$13="H",(VLOOKUP(D28,'CSO2001'!_xlnm.Print_Area,9)-VLOOKUP($G$14+$G$15,'CSO2001'!_xlnm.Print_Area,9))/VLOOKUP(D28,'CSO2001'!_xlnm.Print_Area,8),(VLOOKUP(D28-3,'CSO2001'!_xlnm.Print_Area,9)-VLOOKUP($G$14+$G$15-3,'CSO2001'!_xlnm.Print_Area,9))/VLOOKUP(D28-3,'CSO2001'!_xlnm.Print_Area,8))</f>
        <v>16.085459305410303</v>
      </c>
      <c r="H28" s="68">
        <f t="shared" ref="H28:H44" si="2">+IF(C28&gt;1,E28-F28*G28,0)</f>
        <v>2.3763547822347348</v>
      </c>
      <c r="I28" s="57">
        <v>0.95</v>
      </c>
      <c r="J28" s="68">
        <f>+I28*H28</f>
        <v>2.2575370431229982</v>
      </c>
      <c r="K28" s="68">
        <f>J28*(VLOOKUP(D28,'CSO2001'!_xlnm.Print_Area,8)-VLOOKUP($G$14+$G$15,'CSO2001'!_xlnm.Print_Area,8))/(VLOOKUP(D28,'CSO2001'!_xlnm.Print_Area,11)-VLOOKUP($G$14+$G$15,'CSO2001'!_xlnm.Print_Area,11))</f>
        <v>27.262588742253236</v>
      </c>
      <c r="L28" s="25"/>
      <c r="M28" s="25"/>
      <c r="N28" s="25"/>
      <c r="O28" s="25"/>
      <c r="P28" s="25"/>
    </row>
    <row r="29" spans="2:16" x14ac:dyDescent="0.2">
      <c r="B29" s="144"/>
      <c r="C29" s="26">
        <f t="shared" si="0"/>
        <v>4</v>
      </c>
      <c r="D29" s="26">
        <f>+$G$14+C29</f>
        <v>29</v>
      </c>
      <c r="E29" s="70">
        <f>+IF($G$13="H",(VLOOKUP(D29,'CSO2001'!_xlnm.Print_Area,11)-VLOOKUP($G$14+$G$15,'CSO2001'!_xlnm.Print_Area,11))/VLOOKUP(D29,'CSO2001'!_xlnm.Print_Area,8)*$G$11,(VLOOKUP(D29-3,'CSO2001'!_xlnm.Print_Area,11)-VLOOKUP($G$14+$G$15-3,'CSO2001'!_xlnm.Print_Area,11))/VLOOKUP(D29-3,'CSO2001'!_xlnm.Print_Area,8)*$G$11)</f>
        <v>41.773620923450906</v>
      </c>
      <c r="F29" s="68">
        <f t="shared" si="1"/>
        <v>2.4818757838205388</v>
      </c>
      <c r="G29" s="68">
        <f>+IF($G$13="H",(VLOOKUP(D29,'CSO2001'!_xlnm.Print_Area,9)-VLOOKUP($G$14+$G$15,'CSO2001'!_xlnm.Print_Area,9))/VLOOKUP(D29,'CSO2001'!_xlnm.Print_Area,8),(VLOOKUP(D29-3,'CSO2001'!_xlnm.Print_Area,9)-VLOOKUP($G$14+$G$15-3,'CSO2001'!_xlnm.Print_Area,9))/VLOOKUP(D29-3,'CSO2001'!_xlnm.Print_Area,8))</f>
        <v>15.567164817110241</v>
      </c>
      <c r="H29" s="68">
        <f t="shared" si="2"/>
        <v>3.1378515411219112</v>
      </c>
      <c r="I29" s="57">
        <v>0.95</v>
      </c>
      <c r="J29" s="68">
        <f>+I29*H29</f>
        <v>2.9809589640658154</v>
      </c>
      <c r="K29" s="68">
        <f>J29*(VLOOKUP(D29,'CSO2001'!_xlnm.Print_Area,8)-VLOOKUP($G$14+$G$15,'CSO2001'!_xlnm.Print_Area,8))/(VLOOKUP(D29,'CSO2001'!_xlnm.Print_Area,11)-VLOOKUP($G$14+$G$15,'CSO2001'!_xlnm.Print_Area,11))</f>
        <v>35.336407871694874</v>
      </c>
      <c r="L29" s="25"/>
      <c r="M29" s="25"/>
      <c r="N29" s="25"/>
      <c r="O29" s="25"/>
    </row>
    <row r="30" spans="2:16" x14ac:dyDescent="0.2">
      <c r="B30" s="144"/>
      <c r="C30" s="26">
        <f t="shared" si="0"/>
        <v>5</v>
      </c>
      <c r="D30" s="26">
        <f>+$G$14+C30</f>
        <v>30</v>
      </c>
      <c r="E30" s="70">
        <f>+IF($G$13="H",(VLOOKUP(D30,'CSO2001'!_xlnm.Print_Area,11)-VLOOKUP($G$14+$G$15,'CSO2001'!_xlnm.Print_Area,11))/VLOOKUP(D30,'CSO2001'!_xlnm.Print_Area,8)*$G$11,(VLOOKUP(D30-3,'CSO2001'!_xlnm.Print_Area,11)-VLOOKUP($G$14+$G$15-3,'CSO2001'!_xlnm.Print_Area,11))/VLOOKUP(D30-3,'CSO2001'!_xlnm.Print_Area,8)*$G$11)</f>
        <v>41.262753016705183</v>
      </c>
      <c r="F30" s="68">
        <f t="shared" si="1"/>
        <v>2.4818757838205388</v>
      </c>
      <c r="G30" s="68">
        <f>+IF($G$13="H",(VLOOKUP(D30,'CSO2001'!_xlnm.Print_Area,9)-VLOOKUP($G$14+$G$15,'CSO2001'!_xlnm.Print_Area,9))/VLOOKUP(D30,'CSO2001'!_xlnm.Print_Area,8),(VLOOKUP(D30-3,'CSO2001'!_xlnm.Print_Area,9)-VLOOKUP($G$14+$G$15-3,'CSO2001'!_xlnm.Print_Area,9))/VLOOKUP(D30-3,'CSO2001'!_xlnm.Print_Area,8))</f>
        <v>15.031838344176832</v>
      </c>
      <c r="H30" s="68">
        <f t="shared" si="2"/>
        <v>3.9555974439876778</v>
      </c>
      <c r="I30" s="57">
        <v>0.95</v>
      </c>
      <c r="J30" s="68">
        <f>+I30*H30</f>
        <v>3.7578175717882938</v>
      </c>
      <c r="K30" s="68">
        <f>J30*(VLOOKUP(D30,'CSO2001'!_xlnm.Print_Area,8)-VLOOKUP($G$14+$G$15,'CSO2001'!_xlnm.Print_Area,8))/(VLOOKUP(D30,'CSO2001'!_xlnm.Print_Area,11)-VLOOKUP($G$14+$G$15,'CSO2001'!_xlnm.Print_Area,11))</f>
        <v>43.630331565285502</v>
      </c>
      <c r="L30" s="25"/>
      <c r="M30" s="25"/>
      <c r="N30" s="25"/>
      <c r="O30" s="25"/>
    </row>
    <row r="31" spans="2:16" x14ac:dyDescent="0.2">
      <c r="B31" s="144"/>
      <c r="C31" s="26">
        <f t="shared" si="0"/>
        <v>6</v>
      </c>
      <c r="D31" s="26">
        <f t="shared" ref="D31:D44" si="3">+$G$14+C31</f>
        <v>31</v>
      </c>
      <c r="E31" s="70">
        <f>+IF($G$13="H",(VLOOKUP(D31,'CSO2001'!_xlnm.Print_Area,11)-VLOOKUP($G$14+$G$15,'CSO2001'!_xlnm.Print_Area,11))/VLOOKUP(D31,'CSO2001'!_xlnm.Print_Area,8)*$G$11,(VLOOKUP(D31-3,'CSO2001'!_xlnm.Print_Area,11)-VLOOKUP($G$14+$G$15-3,'CSO2001'!_xlnm.Print_Area,11))/VLOOKUP(D31-3,'CSO2001'!_xlnm.Print_Area,8)*$G$11)</f>
        <v>40.750965368037591</v>
      </c>
      <c r="F31" s="68">
        <f t="shared" si="1"/>
        <v>2.4818757838205388</v>
      </c>
      <c r="G31" s="68">
        <f>+IF($G$13="H",(VLOOKUP(D31,'CSO2001'!_xlnm.Print_Area,9)-VLOOKUP($G$14+$G$15,'CSO2001'!_xlnm.Print_Area,9))/VLOOKUP(D31,'CSO2001'!_xlnm.Print_Area,8),(VLOOKUP(D31-3,'CSO2001'!_xlnm.Print_Area,9)-VLOOKUP($G$14+$G$15-3,'CSO2001'!_xlnm.Print_Area,9))/VLOOKUP(D31-3,'CSO2001'!_xlnm.Print_Area,8))</f>
        <v>14.479203561798858</v>
      </c>
      <c r="H31" s="68">
        <f t="shared" si="2"/>
        <v>4.8153806790009099</v>
      </c>
      <c r="I31" s="57">
        <v>0.95</v>
      </c>
      <c r="J31" s="68">
        <f t="shared" ref="J31:J44" si="4">+I31*H31</f>
        <v>4.5746116450508643</v>
      </c>
      <c r="K31" s="68">
        <f>J31*(VLOOKUP(D31,'CSO2001'!_xlnm.Print_Area,8)-VLOOKUP($G$14+$G$15,'CSO2001'!_xlnm.Print_Area,8))/(VLOOKUP(D31,'CSO2001'!_xlnm.Print_Area,11)-VLOOKUP($G$14+$G$15,'CSO2001'!_xlnm.Print_Area,11))</f>
        <v>51.916440780524312</v>
      </c>
      <c r="L31" s="25"/>
      <c r="M31" s="25"/>
      <c r="N31" s="25"/>
      <c r="O31" s="25"/>
    </row>
    <row r="32" spans="2:16" x14ac:dyDescent="0.2">
      <c r="B32" s="144"/>
      <c r="C32" s="26">
        <f t="shared" si="0"/>
        <v>7</v>
      </c>
      <c r="D32" s="26">
        <f t="shared" si="3"/>
        <v>32</v>
      </c>
      <c r="E32" s="70">
        <f>+IF($G$13="H",(VLOOKUP(D32,'CSO2001'!_xlnm.Print_Area,11)-VLOOKUP($G$14+$G$15,'CSO2001'!_xlnm.Print_Area,11))/VLOOKUP(D32,'CSO2001'!_xlnm.Print_Area,8)*$G$11,(VLOOKUP(D32-3,'CSO2001'!_xlnm.Print_Area,11)-VLOOKUP($G$14+$G$15-3,'CSO2001'!_xlnm.Print_Area,11))/VLOOKUP(D32-3,'CSO2001'!_xlnm.Print_Area,8)*$G$11)</f>
        <v>40.238245076176497</v>
      </c>
      <c r="F32" s="68">
        <f t="shared" si="1"/>
        <v>2.4818757838205388</v>
      </c>
      <c r="G32" s="68">
        <f>+IF($G$13="H",(VLOOKUP(D32,'CSO2001'!_xlnm.Print_Area,9)-VLOOKUP($G$14+$G$15,'CSO2001'!_xlnm.Print_Area,9))/VLOOKUP(D32,'CSO2001'!_xlnm.Print_Area,8),(VLOOKUP(D32-3,'CSO2001'!_xlnm.Print_Area,9)-VLOOKUP($G$14+$G$15-3,'CSO2001'!_xlnm.Print_Area,9))/VLOOKUP(D32-3,'CSO2001'!_xlnm.Print_Area,8))</f>
        <v>13.90872664642956</v>
      </c>
      <c r="H32" s="68">
        <f t="shared" si="2"/>
        <v>5.7185132286235216</v>
      </c>
      <c r="I32" s="57">
        <v>0.95</v>
      </c>
      <c r="J32" s="68">
        <f t="shared" si="4"/>
        <v>5.4325875671923454</v>
      </c>
      <c r="K32" s="68">
        <f>J32*(VLOOKUP(D32,'CSO2001'!_xlnm.Print_Area,8)-VLOOKUP($G$14+$G$15,'CSO2001'!_xlnm.Print_Area,8))/(VLOOKUP(D32,'CSO2001'!_xlnm.Print_Area,11)-VLOOKUP($G$14+$G$15,'CSO2001'!_xlnm.Print_Area,11))</f>
        <v>60.126514462897525</v>
      </c>
    </row>
    <row r="33" spans="2:11" x14ac:dyDescent="0.2">
      <c r="B33" s="144"/>
      <c r="C33" s="26">
        <f t="shared" si="0"/>
        <v>8</v>
      </c>
      <c r="D33" s="26">
        <f t="shared" si="3"/>
        <v>33</v>
      </c>
      <c r="E33" s="70">
        <f>+IF($G$13="H",(VLOOKUP(D33,'CSO2001'!_xlnm.Print_Area,11)-VLOOKUP($G$14+$G$15,'CSO2001'!_xlnm.Print_Area,11))/VLOOKUP(D33,'CSO2001'!_xlnm.Print_Area,8)*$G$11,(VLOOKUP(D33-3,'CSO2001'!_xlnm.Print_Area,11)-VLOOKUP($G$14+$G$15-3,'CSO2001'!_xlnm.Print_Area,11))/VLOOKUP(D33-3,'CSO2001'!_xlnm.Print_Area,8)*$G$11)</f>
        <v>39.709186637903109</v>
      </c>
      <c r="F33" s="68">
        <f t="shared" si="1"/>
        <v>2.4818757838205388</v>
      </c>
      <c r="G33" s="68">
        <f>+IF($G$13="H",(VLOOKUP(D33,'CSO2001'!_xlnm.Print_Area,9)-VLOOKUP($G$14+$G$15,'CSO2001'!_xlnm.Print_Area,9))/VLOOKUP(D33,'CSO2001'!_xlnm.Print_Area,8),(VLOOKUP(D33-3,'CSO2001'!_xlnm.Print_Area,9)-VLOOKUP($G$14+$G$15-3,'CSO2001'!_xlnm.Print_Area,9))/VLOOKUP(D33-3,'CSO2001'!_xlnm.Print_Area,8))</f>
        <v>13.320071134433505</v>
      </c>
      <c r="H33" s="68">
        <f t="shared" si="2"/>
        <v>6.6504246505856202</v>
      </c>
      <c r="I33" s="57">
        <v>0.95</v>
      </c>
      <c r="J33" s="68">
        <f t="shared" si="4"/>
        <v>6.3179034180563391</v>
      </c>
      <c r="K33" s="68">
        <f>J33*(VLOOKUP(D33,'CSO2001'!_xlnm.Print_Area,8)-VLOOKUP($G$14+$G$15,'CSO2001'!_xlnm.Print_Area,8))/(VLOOKUP(D33,'CSO2001'!_xlnm.Print_Area,11)-VLOOKUP($G$14+$G$15,'CSO2001'!_xlnm.Print_Area,11))</f>
        <v>68.044533152410835</v>
      </c>
    </row>
    <row r="34" spans="2:11" x14ac:dyDescent="0.2">
      <c r="B34" s="144"/>
      <c r="C34" s="26">
        <f t="shared" si="0"/>
        <v>9</v>
      </c>
      <c r="D34" s="26">
        <f t="shared" si="3"/>
        <v>34</v>
      </c>
      <c r="E34" s="70">
        <f>+IF($G$13="H",(VLOOKUP(D34,'CSO2001'!_xlnm.Print_Area,11)-VLOOKUP($G$14+$G$15,'CSO2001'!_xlnm.Print_Area,11))/VLOOKUP(D34,'CSO2001'!_xlnm.Print_Area,8)*$G$11,(VLOOKUP(D34-3,'CSO2001'!_xlnm.Print_Area,11)-VLOOKUP($G$14+$G$15-3,'CSO2001'!_xlnm.Print_Area,11))/VLOOKUP(D34-3,'CSO2001'!_xlnm.Print_Area,8)*$G$11)</f>
        <v>39.132465974433124</v>
      </c>
      <c r="F34" s="68">
        <f t="shared" si="1"/>
        <v>2.4818757838205388</v>
      </c>
      <c r="G34" s="68">
        <f>+IF($G$13="H",(VLOOKUP(D34,'CSO2001'!_xlnm.Print_Area,9)-VLOOKUP($G$14+$G$15,'CSO2001'!_xlnm.Print_Area,9))/VLOOKUP(D34,'CSO2001'!_xlnm.Print_Area,8),(VLOOKUP(D34-3,'CSO2001'!_xlnm.Print_Area,9)-VLOOKUP($G$14+$G$15-3,'CSO2001'!_xlnm.Print_Area,9))/VLOOKUP(D34-3,'CSO2001'!_xlnm.Print_Area,8))</f>
        <v>12.713065308634393</v>
      </c>
      <c r="H34" s="68">
        <f t="shared" si="2"/>
        <v>7.5802170468044423</v>
      </c>
      <c r="I34" s="57">
        <v>0.95</v>
      </c>
      <c r="J34" s="68">
        <f t="shared" si="4"/>
        <v>7.2012061944642198</v>
      </c>
      <c r="K34" s="68">
        <f>J34*(VLOOKUP(D34,'CSO2001'!_xlnm.Print_Area,8)-VLOOKUP($G$14+$G$15,'CSO2001'!_xlnm.Print_Area,8))/(VLOOKUP(D34,'CSO2001'!_xlnm.Print_Area,11)-VLOOKUP($G$14+$G$15,'CSO2001'!_xlnm.Print_Area,11))</f>
        <v>75.341238970670133</v>
      </c>
    </row>
    <row r="35" spans="2:11" x14ac:dyDescent="0.2">
      <c r="B35" s="144"/>
      <c r="C35" s="26">
        <f t="shared" si="0"/>
        <v>10</v>
      </c>
      <c r="D35" s="26">
        <f t="shared" si="3"/>
        <v>35</v>
      </c>
      <c r="E35" s="70">
        <f>+IF($G$13="H",(VLOOKUP(D35,'CSO2001'!_xlnm.Print_Area,11)-VLOOKUP($G$14+$G$15,'CSO2001'!_xlnm.Print_Area,11))/VLOOKUP(D35,'CSO2001'!_xlnm.Print_Area,8)*$G$11,(VLOOKUP(D35-3,'CSO2001'!_xlnm.Print_Area,11)-VLOOKUP($G$14+$G$15-3,'CSO2001'!_xlnm.Print_Area,11))/VLOOKUP(D35-3,'CSO2001'!_xlnm.Print_Area,8)*$G$11)</f>
        <v>38.491111171558032</v>
      </c>
      <c r="F35" s="68">
        <f t="shared" si="1"/>
        <v>2.4818757838205388</v>
      </c>
      <c r="G35" s="68">
        <f>+IF($G$13="H",(VLOOKUP(D35,'CSO2001'!_xlnm.Print_Area,9)-VLOOKUP($G$14+$G$15,'CSO2001'!_xlnm.Print_Area,9))/VLOOKUP(D35,'CSO2001'!_xlnm.Print_Area,8),(VLOOKUP(D35-3,'CSO2001'!_xlnm.Print_Area,9)-VLOOKUP($G$14+$G$15-3,'CSO2001'!_xlnm.Print_Area,9))/VLOOKUP(D35-3,'CSO2001'!_xlnm.Print_Area,8))</f>
        <v>12.087278048849656</v>
      </c>
      <c r="H35" s="68">
        <f t="shared" si="2"/>
        <v>8.4919884898124991</v>
      </c>
      <c r="I35" s="57">
        <v>0.95</v>
      </c>
      <c r="J35" s="68">
        <f t="shared" si="4"/>
        <v>8.0673890653218745</v>
      </c>
      <c r="K35" s="68">
        <f>J35*(VLOOKUP(D35,'CSO2001'!_xlnm.Print_Area,8)-VLOOKUP($G$14+$G$15,'CSO2001'!_xlnm.Print_Area,8))/(VLOOKUP(D35,'CSO2001'!_xlnm.Print_Area,11)-VLOOKUP($G$14+$G$15,'CSO2001'!_xlnm.Print_Area,11))</f>
        <v>81.855279807039139</v>
      </c>
    </row>
    <row r="36" spans="2:11" x14ac:dyDescent="0.2">
      <c r="B36" s="144"/>
      <c r="C36" s="26">
        <f t="shared" si="0"/>
        <v>11</v>
      </c>
      <c r="D36" s="26">
        <f t="shared" si="3"/>
        <v>36</v>
      </c>
      <c r="E36" s="70">
        <f>+IF($G$13="H",(VLOOKUP(D36,'CSO2001'!_xlnm.Print_Area,11)-VLOOKUP($G$14+$G$15,'CSO2001'!_xlnm.Print_Area,11))/VLOOKUP(D36,'CSO2001'!_xlnm.Print_Area,8)*$G$11,(VLOOKUP(D36-3,'CSO2001'!_xlnm.Print_Area,11)-VLOOKUP($G$14+$G$15-3,'CSO2001'!_xlnm.Print_Area,11))/VLOOKUP(D36-3,'CSO2001'!_xlnm.Print_Area,8)*$G$11)</f>
        <v>37.78299237995234</v>
      </c>
      <c r="F36" s="68">
        <f t="shared" si="1"/>
        <v>2.4818757838205388</v>
      </c>
      <c r="G36" s="68">
        <f>+IF($G$13="H",(VLOOKUP(D36,'CSO2001'!_xlnm.Print_Area,9)-VLOOKUP($G$14+$G$15,'CSO2001'!_xlnm.Print_Area,9))/VLOOKUP(D36,'CSO2001'!_xlnm.Print_Area,8),(VLOOKUP(D36-3,'CSO2001'!_xlnm.Print_Area,9)-VLOOKUP($G$14+$G$15-3,'CSO2001'!_xlnm.Print_Area,9))/VLOOKUP(D36-3,'CSO2001'!_xlnm.Print_Area,8))</f>
        <v>11.442048195621869</v>
      </c>
      <c r="H36" s="68">
        <f t="shared" si="2"/>
        <v>9.3852500459309347</v>
      </c>
      <c r="I36" s="57">
        <v>0.95</v>
      </c>
      <c r="J36" s="68">
        <f t="shared" si="4"/>
        <v>8.9159875436343867</v>
      </c>
      <c r="K36" s="68">
        <f>J36*(VLOOKUP(D36,'CSO2001'!_xlnm.Print_Area,8)-VLOOKUP($G$14+$G$15,'CSO2001'!_xlnm.Print_Area,8))/(VLOOKUP(D36,'CSO2001'!_xlnm.Print_Area,11)-VLOOKUP($G$14+$G$15,'CSO2001'!_xlnm.Print_Area,11))</f>
        <v>87.559138372945029</v>
      </c>
    </row>
    <row r="37" spans="2:11" x14ac:dyDescent="0.2">
      <c r="B37" s="144"/>
      <c r="C37" s="26">
        <f t="shared" si="0"/>
        <v>12</v>
      </c>
      <c r="D37" s="26">
        <f t="shared" si="3"/>
        <v>37</v>
      </c>
      <c r="E37" s="70">
        <f>+IF($G$13="H",(VLOOKUP(D37,'CSO2001'!_xlnm.Print_Area,11)-VLOOKUP($G$14+$G$15,'CSO2001'!_xlnm.Print_Area,11))/VLOOKUP(D37,'CSO2001'!_xlnm.Print_Area,8)*$G$11,(VLOOKUP(D37-3,'CSO2001'!_xlnm.Print_Area,11)-VLOOKUP($G$14+$G$15-3,'CSO2001'!_xlnm.Print_Area,11))/VLOOKUP(D37-3,'CSO2001'!_xlnm.Print_Area,8)*$G$11)</f>
        <v>36.94414375776681</v>
      </c>
      <c r="F37" s="68">
        <f t="shared" si="1"/>
        <v>2.4818757838205388</v>
      </c>
      <c r="G37" s="68">
        <f>+IF($G$13="H",(VLOOKUP(D37,'CSO2001'!_xlnm.Print_Area,9)-VLOOKUP($G$14+$G$15,'CSO2001'!_xlnm.Print_Area,9))/VLOOKUP(D37,'CSO2001'!_xlnm.Print_Area,8),(VLOOKUP(D37-3,'CSO2001'!_xlnm.Print_Area,9)-VLOOKUP($G$14+$G$15-3,'CSO2001'!_xlnm.Print_Area,9))/VLOOKUP(D37-3,'CSO2001'!_xlnm.Print_Area,8))</f>
        <v>10.777381719251556</v>
      </c>
      <c r="H37" s="68">
        <f t="shared" si="2"/>
        <v>10.196021055766209</v>
      </c>
      <c r="I37" s="57">
        <v>0.95</v>
      </c>
      <c r="J37" s="68">
        <f t="shared" si="4"/>
        <v>9.6862200029778993</v>
      </c>
      <c r="K37" s="68">
        <f>J37*(VLOOKUP(D37,'CSO2001'!_xlnm.Print_Area,8)-VLOOKUP($G$14+$G$15,'CSO2001'!_xlnm.Print_Area,8))/(VLOOKUP(D37,'CSO2001'!_xlnm.Print_Area,11)-VLOOKUP($G$14+$G$15,'CSO2001'!_xlnm.Print_Area,11))</f>
        <v>91.987391791889507</v>
      </c>
    </row>
    <row r="38" spans="2:11" x14ac:dyDescent="0.2">
      <c r="B38" s="144"/>
      <c r="C38" s="26">
        <f t="shared" si="0"/>
        <v>13</v>
      </c>
      <c r="D38" s="26">
        <f t="shared" si="3"/>
        <v>38</v>
      </c>
      <c r="E38" s="70">
        <f>+IF($G$13="H",(VLOOKUP(D38,'CSO2001'!_xlnm.Print_Area,11)-VLOOKUP($G$14+$G$15,'CSO2001'!_xlnm.Print_Area,11))/VLOOKUP(D38,'CSO2001'!_xlnm.Print_Area,8)*$G$11,(VLOOKUP(D38-3,'CSO2001'!_xlnm.Print_Area,11)-VLOOKUP($G$14+$G$15-3,'CSO2001'!_xlnm.Print_Area,11))/VLOOKUP(D38-3,'CSO2001'!_xlnm.Print_Area,8)*$G$11)</f>
        <v>35.985621242443578</v>
      </c>
      <c r="F38" s="68">
        <f t="shared" si="1"/>
        <v>2.4818757838205388</v>
      </c>
      <c r="G38" s="68">
        <f>+IF($G$13="H",(VLOOKUP(D38,'CSO2001'!_xlnm.Print_Area,9)-VLOOKUP($G$14+$G$15,'CSO2001'!_xlnm.Print_Area,9))/VLOOKUP(D38,'CSO2001'!_xlnm.Print_Area,8),(VLOOKUP(D38-3,'CSO2001'!_xlnm.Print_Area,9)-VLOOKUP($G$14+$G$15-3,'CSO2001'!_xlnm.Print_Area,9))/VLOOKUP(D38-3,'CSO2001'!_xlnm.Print_Area,8))</f>
        <v>10.09234115025524</v>
      </c>
      <c r="H38" s="68">
        <f t="shared" si="2"/>
        <v>10.937684139569576</v>
      </c>
      <c r="I38" s="57">
        <v>0.95</v>
      </c>
      <c r="J38" s="68">
        <f t="shared" si="4"/>
        <v>10.390799932591097</v>
      </c>
      <c r="K38" s="68">
        <f>J38*(VLOOKUP(D38,'CSO2001'!_xlnm.Print_Area,8)-VLOOKUP($G$14+$G$15,'CSO2001'!_xlnm.Print_Area,8))/(VLOOKUP(D38,'CSO2001'!_xlnm.Print_Area,11)-VLOOKUP($G$14+$G$15,'CSO2001'!_xlnm.Print_Area,11))</f>
        <v>95.268954948717095</v>
      </c>
    </row>
    <row r="39" spans="2:11" x14ac:dyDescent="0.2">
      <c r="B39" s="144"/>
      <c r="C39" s="26">
        <f t="shared" si="0"/>
        <v>14</v>
      </c>
      <c r="D39" s="26">
        <f t="shared" si="3"/>
        <v>39</v>
      </c>
      <c r="E39" s="70">
        <f>+IF($G$13="H",(VLOOKUP(D39,'CSO2001'!_xlnm.Print_Area,11)-VLOOKUP($G$14+$G$15,'CSO2001'!_xlnm.Print_Area,11))/VLOOKUP(D39,'CSO2001'!_xlnm.Print_Area,8)*$G$11,(VLOOKUP(D39-3,'CSO2001'!_xlnm.Print_Area,11)-VLOOKUP($G$14+$G$15-3,'CSO2001'!_xlnm.Print_Area,11))/VLOOKUP(D39-3,'CSO2001'!_xlnm.Print_Area,8)*$G$11)</f>
        <v>34.841464614187963</v>
      </c>
      <c r="F39" s="68">
        <f t="shared" si="1"/>
        <v>2.4818757838205388</v>
      </c>
      <c r="G39" s="68">
        <f>+IF($G$13="H",(VLOOKUP(D39,'CSO2001'!_xlnm.Print_Area,9)-VLOOKUP($G$14+$G$15,'CSO2001'!_xlnm.Print_Area,9))/VLOOKUP(D39,'CSO2001'!_xlnm.Print_Area,8),(VLOOKUP(D39-3,'CSO2001'!_xlnm.Print_Area,9)-VLOOKUP($G$14+$G$15-3,'CSO2001'!_xlnm.Print_Area,9))/VLOOKUP(D39-3,'CSO2001'!_xlnm.Print_Area,8))</f>
        <v>9.3867384301058685</v>
      </c>
      <c r="H39" s="68">
        <f t="shared" si="2"/>
        <v>11.544745815450586</v>
      </c>
      <c r="I39" s="57">
        <v>0.95</v>
      </c>
      <c r="J39" s="68">
        <f t="shared" si="4"/>
        <v>10.967508524678056</v>
      </c>
      <c r="K39" s="68">
        <f>J39*(VLOOKUP(D39,'CSO2001'!_xlnm.Print_Area,8)-VLOOKUP($G$14+$G$15,'CSO2001'!_xlnm.Print_Area,8))/(VLOOKUP(D39,'CSO2001'!_xlnm.Print_Area,11)-VLOOKUP($G$14+$G$15,'CSO2001'!_xlnm.Print_Area,11))</f>
        <v>97.029288417510898</v>
      </c>
    </row>
    <row r="40" spans="2:11" x14ac:dyDescent="0.2">
      <c r="B40" s="144"/>
      <c r="C40" s="26">
        <f t="shared" si="0"/>
        <v>15</v>
      </c>
      <c r="D40" s="26">
        <f t="shared" si="3"/>
        <v>40</v>
      </c>
      <c r="E40" s="70">
        <f>+IF($G$13="H",(VLOOKUP(D40,'CSO2001'!_xlnm.Print_Area,11)-VLOOKUP($G$14+$G$15,'CSO2001'!_xlnm.Print_Area,11))/VLOOKUP(D40,'CSO2001'!_xlnm.Print_Area,8)*$G$11,(VLOOKUP(D40-3,'CSO2001'!_xlnm.Print_Area,11)-VLOOKUP($G$14+$G$15-3,'CSO2001'!_xlnm.Print_Area,11))/VLOOKUP(D40-3,'CSO2001'!_xlnm.Print_Area,8)*$G$11)</f>
        <v>33.505265526871817</v>
      </c>
      <c r="F40" s="68">
        <f t="shared" si="1"/>
        <v>2.4818757838205388</v>
      </c>
      <c r="G40" s="68">
        <f>+IF($G$13="H",(VLOOKUP(D40,'CSO2001'!_xlnm.Print_Area,9)-VLOOKUP($G$14+$G$15,'CSO2001'!_xlnm.Print_Area,9))/VLOOKUP(D40,'CSO2001'!_xlnm.Print_Area,8),(VLOOKUP(D40-3,'CSO2001'!_xlnm.Print_Area,9)-VLOOKUP($G$14+$G$15-3,'CSO2001'!_xlnm.Print_Area,9))/VLOOKUP(D40-3,'CSO2001'!_xlnm.Print_Area,8))</f>
        <v>8.6596780296741596</v>
      </c>
      <c r="H40" s="68">
        <f t="shared" si="2"/>
        <v>12.013020329340762</v>
      </c>
      <c r="I40" s="57">
        <v>0.95</v>
      </c>
      <c r="J40" s="68">
        <f t="shared" si="4"/>
        <v>11.412369312873723</v>
      </c>
      <c r="K40" s="68">
        <f>J40*(VLOOKUP(D40,'CSO2001'!_xlnm.Print_Area,8)-VLOOKUP($G$14+$G$15,'CSO2001'!_xlnm.Print_Area,8))/(VLOOKUP(D40,'CSO2001'!_xlnm.Print_Area,11)-VLOOKUP($G$14+$G$15,'CSO2001'!_xlnm.Print_Area,11))</f>
        <v>97.323320674732386</v>
      </c>
    </row>
    <row r="41" spans="2:11" x14ac:dyDescent="0.2">
      <c r="B41" s="144"/>
      <c r="C41" s="26">
        <f t="shared" si="0"/>
        <v>16</v>
      </c>
      <c r="D41" s="26">
        <f t="shared" si="3"/>
        <v>41</v>
      </c>
      <c r="E41" s="70">
        <f>+IF($G$13="H",(VLOOKUP(D41,'CSO2001'!_xlnm.Print_Area,11)-VLOOKUP($G$14+$G$15,'CSO2001'!_xlnm.Print_Area,11))/VLOOKUP(D41,'CSO2001'!_xlnm.Print_Area,8)*$G$11,(VLOOKUP(D41-3,'CSO2001'!_xlnm.Print_Area,11)-VLOOKUP($G$14+$G$15-3,'CSO2001'!_xlnm.Print_Area,11))/VLOOKUP(D41-3,'CSO2001'!_xlnm.Print_Area,8)*$G$11)</f>
        <v>31.954784122762078</v>
      </c>
      <c r="F41" s="68">
        <f t="shared" si="1"/>
        <v>2.4818757838205388</v>
      </c>
      <c r="G41" s="68">
        <f>+IF($G$13="H",(VLOOKUP(D41,'CSO2001'!_xlnm.Print_Area,9)-VLOOKUP($G$14+$G$15,'CSO2001'!_xlnm.Print_Area,9))/VLOOKUP(D41,'CSO2001'!_xlnm.Print_Area,8),(VLOOKUP(D41-3,'CSO2001'!_xlnm.Print_Area,9)-VLOOKUP($G$14+$G$15-3,'CSO2001'!_xlnm.Print_Area,9))/VLOOKUP(D41-3,'CSO2001'!_xlnm.Print_Area,8))</f>
        <v>7.910351699049877</v>
      </c>
      <c r="H41" s="68">
        <f t="shared" si="2"/>
        <v>12.322273799386533</v>
      </c>
      <c r="I41" s="57">
        <v>0.95</v>
      </c>
      <c r="J41" s="68">
        <f t="shared" si="4"/>
        <v>11.706160109417207</v>
      </c>
      <c r="K41" s="68">
        <f>J41*(VLOOKUP(D41,'CSO2001'!_xlnm.Print_Area,8)-VLOOKUP($G$14+$G$15,'CSO2001'!_xlnm.Print_Area,8))/(VLOOKUP(D41,'CSO2001'!_xlnm.Print_Area,11)-VLOOKUP($G$14+$G$15,'CSO2001'!_xlnm.Print_Area,11))</f>
        <v>96.109259512113582</v>
      </c>
    </row>
    <row r="42" spans="2:11" x14ac:dyDescent="0.2">
      <c r="B42" s="144"/>
      <c r="C42" s="26">
        <f t="shared" si="0"/>
        <v>17</v>
      </c>
      <c r="D42" s="26">
        <f t="shared" si="3"/>
        <v>42</v>
      </c>
      <c r="E42" s="70">
        <f>+IF($G$13="H",(VLOOKUP(D42,'CSO2001'!_xlnm.Print_Area,11)-VLOOKUP($G$14+$G$15,'CSO2001'!_xlnm.Print_Area,11))/VLOOKUP(D42,'CSO2001'!_xlnm.Print_Area,8)*$G$11,(VLOOKUP(D42-3,'CSO2001'!_xlnm.Print_Area,11)-VLOOKUP($G$14+$G$15-3,'CSO2001'!_xlnm.Print_Area,11))/VLOOKUP(D42-3,'CSO2001'!_xlnm.Print_Area,8)*$G$11)</f>
        <v>30.135736395481537</v>
      </c>
      <c r="F42" s="68">
        <f t="shared" si="1"/>
        <v>2.4818757838205388</v>
      </c>
      <c r="G42" s="68">
        <f>+IF($G$13="H",(VLOOKUP(D42,'CSO2001'!_xlnm.Print_Area,9)-VLOOKUP($G$14+$G$15,'CSO2001'!_xlnm.Print_Area,9))/VLOOKUP(D42,'CSO2001'!_xlnm.Print_Area,8),(VLOOKUP(D42-3,'CSO2001'!_xlnm.Print_Area,9)-VLOOKUP($G$14+$G$15-3,'CSO2001'!_xlnm.Print_Area,9))/VLOOKUP(D42-3,'CSO2001'!_xlnm.Print_Area,8))</f>
        <v>7.1381057849895821</v>
      </c>
      <c r="H42" s="68">
        <f t="shared" si="2"/>
        <v>12.419844505366594</v>
      </c>
      <c r="I42" s="57">
        <v>0.95</v>
      </c>
      <c r="J42" s="68">
        <f t="shared" si="4"/>
        <v>11.798852280098265</v>
      </c>
      <c r="K42" s="68">
        <f>J42*(VLOOKUP(D42,'CSO2001'!_xlnm.Print_Area,8)-VLOOKUP($G$14+$G$15,'CSO2001'!_xlnm.Print_Area,8))/(VLOOKUP(D42,'CSO2001'!_xlnm.Print_Area,11)-VLOOKUP($G$14+$G$15,'CSO2001'!_xlnm.Print_Area,11))</f>
        <v>93.198957326952694</v>
      </c>
    </row>
    <row r="43" spans="2:11" x14ac:dyDescent="0.2">
      <c r="B43" s="144"/>
      <c r="C43" s="26">
        <f t="shared" si="0"/>
        <v>18</v>
      </c>
      <c r="D43" s="26">
        <f t="shared" si="3"/>
        <v>43</v>
      </c>
      <c r="E43" s="70">
        <f>+IF($G$13="H",(VLOOKUP(D43,'CSO2001'!_xlnm.Print_Area,11)-VLOOKUP($G$14+$G$15,'CSO2001'!_xlnm.Print_Area,11))/VLOOKUP(D43,'CSO2001'!_xlnm.Print_Area,8)*$G$11,(VLOOKUP(D43-3,'CSO2001'!_xlnm.Print_Area,11)-VLOOKUP($G$14+$G$15-3,'CSO2001'!_xlnm.Print_Area,11))/VLOOKUP(D43-3,'CSO2001'!_xlnm.Print_Area,8)*$G$11)</f>
        <v>27.9915901139433</v>
      </c>
      <c r="F43" s="68">
        <f t="shared" si="1"/>
        <v>2.4818757838205388</v>
      </c>
      <c r="G43" s="68">
        <f>+IF($G$13="H",(VLOOKUP(D43,'CSO2001'!_xlnm.Print_Area,9)-VLOOKUP($G$14+$G$15,'CSO2001'!_xlnm.Print_Area,9))/VLOOKUP(D43,'CSO2001'!_xlnm.Print_Area,8),(VLOOKUP(D43-3,'CSO2001'!_xlnm.Print_Area,9)-VLOOKUP($G$14+$G$15-3,'CSO2001'!_xlnm.Print_Area,9))/VLOOKUP(D43-3,'CSO2001'!_xlnm.Print_Area,8))</f>
        <v>6.3421379030030876</v>
      </c>
      <c r="H43" s="68">
        <f t="shared" si="2"/>
        <v>12.251191634829564</v>
      </c>
      <c r="I43" s="57">
        <v>0.95</v>
      </c>
      <c r="J43" s="68">
        <f t="shared" si="4"/>
        <v>11.638632053088084</v>
      </c>
      <c r="K43" s="68">
        <f>J43*(VLOOKUP(D43,'CSO2001'!_xlnm.Print_Area,8)-VLOOKUP($G$14+$G$15,'CSO2001'!_xlnm.Print_Area,8))/(VLOOKUP(D43,'CSO2001'!_xlnm.Print_Area,11)-VLOOKUP($G$14+$G$15,'CSO2001'!_xlnm.Print_Area,11))</f>
        <v>88.444443095141878</v>
      </c>
    </row>
    <row r="44" spans="2:11" x14ac:dyDescent="0.2">
      <c r="B44" s="144"/>
      <c r="C44" s="26">
        <f t="shared" si="0"/>
        <v>19</v>
      </c>
      <c r="D44" s="26">
        <f t="shared" si="3"/>
        <v>44</v>
      </c>
      <c r="E44" s="70">
        <f>+IF($G$13="H",(VLOOKUP(D44,'CSO2001'!_xlnm.Print_Area,11)-VLOOKUP($G$14+$G$15,'CSO2001'!_xlnm.Print_Area,11))/VLOOKUP(D44,'CSO2001'!_xlnm.Print_Area,8)*$G$11,(VLOOKUP(D44-3,'CSO2001'!_xlnm.Print_Area,11)-VLOOKUP($G$14+$G$15-3,'CSO2001'!_xlnm.Print_Area,11))/VLOOKUP(D44-3,'CSO2001'!_xlnm.Print_Area,8)*$G$11)</f>
        <v>25.478985527576459</v>
      </c>
      <c r="F44" s="68">
        <f t="shared" si="1"/>
        <v>2.4818757838205388</v>
      </c>
      <c r="G44" s="68">
        <f>+IF($G$13="H",(VLOOKUP(D44,'CSO2001'!_xlnm.Print_Area,9)-VLOOKUP($G$14+$G$15,'CSO2001'!_xlnm.Print_Area,9))/VLOOKUP(D44,'CSO2001'!_xlnm.Print_Area,8),(VLOOKUP(D44-3,'CSO2001'!_xlnm.Print_Area,9)-VLOOKUP($G$14+$G$15-3,'CSO2001'!_xlnm.Print_Area,9))/VLOOKUP(D44-3,'CSO2001'!_xlnm.Print_Area,8))</f>
        <v>5.5213956410985574</v>
      </c>
      <c r="H44" s="68">
        <f t="shared" si="2"/>
        <v>11.775567393041671</v>
      </c>
      <c r="I44" s="57">
        <v>0.95</v>
      </c>
      <c r="J44" s="68">
        <f t="shared" si="4"/>
        <v>11.186789023389586</v>
      </c>
      <c r="K44" s="68">
        <f>J44*(VLOOKUP(D44,'CSO2001'!_xlnm.Print_Area,8)-VLOOKUP($G$14+$G$15,'CSO2001'!_xlnm.Print_Area,8))/(VLOOKUP(D44,'CSO2001'!_xlnm.Print_Area,11)-VLOOKUP($G$14+$G$15,'CSO2001'!_xlnm.Print_Area,11))</f>
        <v>81.795163522529904</v>
      </c>
    </row>
    <row r="45" spans="2:11" x14ac:dyDescent="0.2">
      <c r="B45" s="144"/>
      <c r="C45" s="26">
        <f t="shared" si="0"/>
        <v>20</v>
      </c>
      <c r="D45" s="26">
        <f t="shared" ref="D45:D50" si="5">+$G$14+C45</f>
        <v>45</v>
      </c>
      <c r="E45" s="70">
        <f>+IF($G$13="H",(VLOOKUP(D45,'CSO2001'!_xlnm.Print_Area,11)-VLOOKUP($G$14+$G$15,'CSO2001'!_xlnm.Print_Area,11))/VLOOKUP(D45,'CSO2001'!_xlnm.Print_Area,8)*$G$11,(VLOOKUP(D45-3,'CSO2001'!_xlnm.Print_Area,11)-VLOOKUP($G$14+$G$15-3,'CSO2001'!_xlnm.Print_Area,11))/VLOOKUP(D45-3,'CSO2001'!_xlnm.Print_Area,8)*$G$11)</f>
        <v>22.505415803435994</v>
      </c>
      <c r="F45" s="68">
        <f t="shared" si="1"/>
        <v>2.4818757838205388</v>
      </c>
      <c r="G45" s="68">
        <f>+IF($G$13="H",(VLOOKUP(D45,'CSO2001'!_xlnm.Print_Area,9)-VLOOKUP($G$14+$G$15,'CSO2001'!_xlnm.Print_Area,9))/VLOOKUP(D45,'CSO2001'!_xlnm.Print_Area,8),(VLOOKUP(D45-3,'CSO2001'!_xlnm.Print_Area,9)-VLOOKUP($G$14+$G$15-3,'CSO2001'!_xlnm.Print_Area,9))/VLOOKUP(D45-3,'CSO2001'!_xlnm.Print_Area,8))</f>
        <v>4.6749143829318474</v>
      </c>
      <c r="H45" s="68">
        <f t="shared" ref="H45:H50" si="6">+IF(C45&gt;1,E45-F45*G45,0)</f>
        <v>10.902859005003105</v>
      </c>
      <c r="I45" s="57">
        <v>0.95</v>
      </c>
      <c r="J45" s="68">
        <f t="shared" ref="J45:J50" si="7">+I45*H45</f>
        <v>10.357716054752949</v>
      </c>
      <c r="K45" s="68">
        <f>J45*(VLOOKUP(D45,'CSO2001'!_xlnm.Print_Area,8)-VLOOKUP($G$14+$G$15,'CSO2001'!_xlnm.Print_Area,8))/(VLOOKUP(D45,'CSO2001'!_xlnm.Print_Area,11)-VLOOKUP($G$14+$G$15,'CSO2001'!_xlnm.Print_Area,11))</f>
        <v>73.024102344529169</v>
      </c>
    </row>
    <row r="46" spans="2:11" x14ac:dyDescent="0.2">
      <c r="C46" s="26">
        <f t="shared" si="0"/>
        <v>21</v>
      </c>
      <c r="D46" s="26">
        <f t="shared" si="5"/>
        <v>46</v>
      </c>
      <c r="E46" s="70">
        <f>+IF($G$13="H",(VLOOKUP(D46,'CSO2001'!_xlnm.Print_Area,11)-VLOOKUP($G$14+$G$15,'CSO2001'!_xlnm.Print_Area,11))/VLOOKUP(D46,'CSO2001'!_xlnm.Print_Area,8)*$G$11,(VLOOKUP(D46-3,'CSO2001'!_xlnm.Print_Area,11)-VLOOKUP($G$14+$G$15-3,'CSO2001'!_xlnm.Print_Area,11))/VLOOKUP(D46-3,'CSO2001'!_xlnm.Print_Area,8)*$G$11)</f>
        <v>19.021228285469419</v>
      </c>
      <c r="F46" s="68">
        <f t="shared" si="1"/>
        <v>2.4818757838205388</v>
      </c>
      <c r="G46" s="68">
        <f>+IF($G$13="H",(VLOOKUP(D46,'CSO2001'!_xlnm.Print_Area,9)-VLOOKUP($G$14+$G$15,'CSO2001'!_xlnm.Print_Area,9))/VLOOKUP(D46,'CSO2001'!_xlnm.Print_Area,8),(VLOOKUP(D46-3,'CSO2001'!_xlnm.Print_Area,9)-VLOOKUP($G$14+$G$15-3,'CSO2001'!_xlnm.Print_Area,9))/VLOOKUP(D46-3,'CSO2001'!_xlnm.Print_Area,8))</f>
        <v>3.8012792383905802</v>
      </c>
      <c r="H46" s="68">
        <f t="shared" si="6"/>
        <v>9.5869253961680574</v>
      </c>
      <c r="I46" s="57">
        <v>0.95</v>
      </c>
      <c r="J46" s="68">
        <f t="shared" si="7"/>
        <v>9.1075791263596546</v>
      </c>
      <c r="K46" s="68">
        <f>J46*(VLOOKUP(D46,'CSO2001'!_xlnm.Print_Area,8)-VLOOKUP($G$14+$G$15,'CSO2001'!_xlnm.Print_Area,8))/(VLOOKUP(D46,'CSO2001'!_xlnm.Print_Area,11)-VLOOKUP($G$14+$G$15,'CSO2001'!_xlnm.Print_Area,11))</f>
        <v>62.120068557328175</v>
      </c>
    </row>
    <row r="47" spans="2:11" x14ac:dyDescent="0.2">
      <c r="C47" s="26">
        <f t="shared" si="0"/>
        <v>22</v>
      </c>
      <c r="D47" s="26">
        <f t="shared" si="5"/>
        <v>47</v>
      </c>
      <c r="E47" s="70">
        <f>+IF($G$13="H",(VLOOKUP(D47,'CSO2001'!_xlnm.Print_Area,11)-VLOOKUP($G$14+$G$15,'CSO2001'!_xlnm.Print_Area,11))/VLOOKUP(D47,'CSO2001'!_xlnm.Print_Area,8)*$G$11,(VLOOKUP(D47-3,'CSO2001'!_xlnm.Print_Area,11)-VLOOKUP($G$14+$G$15-3,'CSO2001'!_xlnm.Print_Area,11))/VLOOKUP(D47-3,'CSO2001'!_xlnm.Print_Area,8)*$G$11)</f>
        <v>15.021565196545444</v>
      </c>
      <c r="F47" s="68">
        <f t="shared" si="1"/>
        <v>2.4818757838205388</v>
      </c>
      <c r="G47" s="68">
        <f>+IF($G$13="H",(VLOOKUP(D47,'CSO2001'!_xlnm.Print_Area,9)-VLOOKUP($G$14+$G$15,'CSO2001'!_xlnm.Print_Area,9))/VLOOKUP(D47,'CSO2001'!_xlnm.Print_Area,8),(VLOOKUP(D47-3,'CSO2001'!_xlnm.Print_Area,9)-VLOOKUP($G$14+$G$15-3,'CSO2001'!_xlnm.Print_Area,9))/VLOOKUP(D47-3,'CSO2001'!_xlnm.Print_Area,8))</f>
        <v>2.8987678985917622</v>
      </c>
      <c r="H47" s="68">
        <f t="shared" si="6"/>
        <v>7.8271833461141975</v>
      </c>
      <c r="I47" s="57">
        <v>0.95</v>
      </c>
      <c r="J47" s="68">
        <f t="shared" si="7"/>
        <v>7.4358241788084873</v>
      </c>
      <c r="K47" s="68">
        <f>J47*(VLOOKUP(D47,'CSO2001'!_xlnm.Print_Area,8)-VLOOKUP($G$14+$G$15,'CSO2001'!_xlnm.Print_Area,8))/(VLOOKUP(D47,'CSO2001'!_xlnm.Print_Area,11)-VLOOKUP($G$14+$G$15,'CSO2001'!_xlnm.Print_Area,11))</f>
        <v>49.229579751829348</v>
      </c>
    </row>
    <row r="48" spans="2:11" x14ac:dyDescent="0.2">
      <c r="C48" s="26">
        <f t="shared" si="0"/>
        <v>23</v>
      </c>
      <c r="D48" s="26">
        <f t="shared" si="5"/>
        <v>48</v>
      </c>
      <c r="E48" s="70">
        <f>+IF($G$13="H",(VLOOKUP(D48,'CSO2001'!_xlnm.Print_Area,11)-VLOOKUP($G$14+$G$15,'CSO2001'!_xlnm.Print_Area,11))/VLOOKUP(D48,'CSO2001'!_xlnm.Print_Area,8)*$G$11,(VLOOKUP(D48-3,'CSO2001'!_xlnm.Print_Area,11)-VLOOKUP($G$14+$G$15-3,'CSO2001'!_xlnm.Print_Area,11))/VLOOKUP(D48-3,'CSO2001'!_xlnm.Print_Area,8)*$G$11)</f>
        <v>10.453230939768142</v>
      </c>
      <c r="F48" s="68">
        <f t="shared" si="1"/>
        <v>2.4818757838205388</v>
      </c>
      <c r="G48" s="68">
        <f>+IF($G$13="H",(VLOOKUP(D48,'CSO2001'!_xlnm.Print_Area,9)-VLOOKUP($G$14+$G$15,'CSO2001'!_xlnm.Print_Area,9))/VLOOKUP(D48,'CSO2001'!_xlnm.Print_Area,8),(VLOOKUP(D48-3,'CSO2001'!_xlnm.Print_Area,9)-VLOOKUP($G$14+$G$15-3,'CSO2001'!_xlnm.Print_Area,9))/VLOOKUP(D48-3,'CSO2001'!_xlnm.Print_Area,8))</f>
        <v>1.9657009708737887</v>
      </c>
      <c r="H48" s="68">
        <f t="shared" si="6"/>
        <v>5.5746053019239641</v>
      </c>
      <c r="I48" s="57">
        <v>0.95</v>
      </c>
      <c r="J48" s="68">
        <f t="shared" si="7"/>
        <v>5.2958750368277654</v>
      </c>
      <c r="K48" s="68">
        <f>J48*(VLOOKUP(D48,'CSO2001'!_xlnm.Print_Area,8)-VLOOKUP($G$14+$G$15,'CSO2001'!_xlnm.Print_Area,8))/(VLOOKUP(D48,'CSO2001'!_xlnm.Print_Area,11)-VLOOKUP($G$14+$G$15,'CSO2001'!_xlnm.Print_Area,11))</f>
        <v>34.301930011931304</v>
      </c>
    </row>
    <row r="49" spans="3:11" x14ac:dyDescent="0.2">
      <c r="C49" s="26">
        <f t="shared" si="0"/>
        <v>24</v>
      </c>
      <c r="D49" s="26">
        <f t="shared" si="5"/>
        <v>49</v>
      </c>
      <c r="E49" s="70">
        <f>+IF($G$13="H",(VLOOKUP(D49,'CSO2001'!_xlnm.Print_Area,11)-VLOOKUP($G$14+$G$15,'CSO2001'!_xlnm.Print_Area,11))/VLOOKUP(D49,'CSO2001'!_xlnm.Print_Area,8)*$G$11,(VLOOKUP(D49-3,'CSO2001'!_xlnm.Print_Area,11)-VLOOKUP($G$14+$G$15-3,'CSO2001'!_xlnm.Print_Area,11))/VLOOKUP(D49-3,'CSO2001'!_xlnm.Print_Area,8)*$G$11)</f>
        <v>5.467961165048516</v>
      </c>
      <c r="F49" s="68">
        <f t="shared" si="1"/>
        <v>2.4818757838205388</v>
      </c>
      <c r="G49" s="68">
        <f>+IF($G$13="H",(VLOOKUP(D49,'CSO2001'!_xlnm.Print_Area,9)-VLOOKUP($G$14+$G$15,'CSO2001'!_xlnm.Print_Area,9))/VLOOKUP(D49,'CSO2001'!_xlnm.Print_Area,8),(VLOOKUP(D49-3,'CSO2001'!_xlnm.Print_Area,9)-VLOOKUP($G$14+$G$15-3,'CSO2001'!_xlnm.Print_Area,9))/VLOOKUP(D49-3,'CSO2001'!_xlnm.Print_Area,8))</f>
        <v>1.0000000000000031</v>
      </c>
      <c r="H49" s="68">
        <f t="shared" si="6"/>
        <v>2.9860853812279697</v>
      </c>
      <c r="I49" s="57">
        <v>0.95</v>
      </c>
      <c r="J49" s="68">
        <f t="shared" si="7"/>
        <v>2.8367811121665709</v>
      </c>
      <c r="K49" s="68">
        <f>J49*(VLOOKUP(D49,'CSO2001'!_xlnm.Print_Area,8)-VLOOKUP($G$14+$G$15,'CSO2001'!_xlnm.Print_Area,8))/(VLOOKUP(D49,'CSO2001'!_xlnm.Print_Area,11)-VLOOKUP($G$14+$G$15,'CSO2001'!_xlnm.Print_Area,11))</f>
        <v>17.947475956803991</v>
      </c>
    </row>
    <row r="50" spans="3:11" x14ac:dyDescent="0.2">
      <c r="C50" s="26">
        <f t="shared" si="0"/>
        <v>25</v>
      </c>
      <c r="D50" s="26">
        <f t="shared" si="5"/>
        <v>50</v>
      </c>
      <c r="E50" s="70">
        <f>+IF($G$13="H",(VLOOKUP(D50,'CSO2001'!_xlnm.Print_Area,11)-VLOOKUP($G$14+$G$15,'CSO2001'!_xlnm.Print_Area,11))/VLOOKUP(D50,'CSO2001'!_xlnm.Print_Area,8)*$G$11,(VLOOKUP(D50-3,'CSO2001'!_xlnm.Print_Area,11)-VLOOKUP($G$14+$G$15-3,'CSO2001'!_xlnm.Print_Area,11))/VLOOKUP(D50-3,'CSO2001'!_xlnm.Print_Area,8)*$G$11)</f>
        <v>0</v>
      </c>
      <c r="F50" s="68">
        <f t="shared" si="1"/>
        <v>2.4818757838205388</v>
      </c>
      <c r="G50" s="68">
        <f>+IF($G$13="H",(VLOOKUP(D50,'CSO2001'!_xlnm.Print_Area,9)-VLOOKUP($G$14+$G$15,'CSO2001'!_xlnm.Print_Area,9))/VLOOKUP(D50,'CSO2001'!_xlnm.Print_Area,8),(VLOOKUP(D50-3,'CSO2001'!_xlnm.Print_Area,9)-VLOOKUP($G$14+$G$15-3,'CSO2001'!_xlnm.Print_Area,9))/VLOOKUP(D50-3,'CSO2001'!_xlnm.Print_Area,8))</f>
        <v>0</v>
      </c>
      <c r="H50" s="68">
        <f t="shared" si="6"/>
        <v>0</v>
      </c>
      <c r="I50" s="57">
        <v>0.95</v>
      </c>
      <c r="J50" s="68">
        <f t="shared" si="7"/>
        <v>0</v>
      </c>
      <c r="K50" s="68" t="e">
        <f>J50*(VLOOKUP(D50,'CSO2001'!_xlnm.Print_Area,8)-VLOOKUP($G$14+$G$15,'CSO2001'!_xlnm.Print_Area,8))/(VLOOKUP(D50,'CSO2001'!_xlnm.Print_Area,11)-VLOOKUP($G$14+$G$15,'CSO2001'!_xlnm.Print_Area,11))</f>
        <v>#DIV/0!</v>
      </c>
    </row>
  </sheetData>
  <mergeCells count="7">
    <mergeCell ref="B26:B45"/>
    <mergeCell ref="B5:Q5"/>
    <mergeCell ref="B6:O6"/>
    <mergeCell ref="C15:E15"/>
    <mergeCell ref="B21:G21"/>
    <mergeCell ref="B22:G22"/>
    <mergeCell ref="L24:O24"/>
  </mergeCells>
  <dataValidations count="1">
    <dataValidation allowBlank="1" showInputMessage="1" showErrorMessage="1" prompt="CELDA PROTEGIDA!!!!" sqref="G24" xr:uid="{00000000-0002-0000-0D00-000000000000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3793" r:id="rId3">
          <objectPr defaultSize="0" autoPict="0" r:id="rId4">
            <anchor moveWithCells="1" sizeWithCells="1">
              <from>
                <xdr:col>3</xdr:col>
                <xdr:colOff>1219200</xdr:colOff>
                <xdr:row>21</xdr:row>
                <xdr:rowOff>142875</xdr:rowOff>
              </from>
              <to>
                <xdr:col>5</xdr:col>
                <xdr:colOff>28575</xdr:colOff>
                <xdr:row>25</xdr:row>
                <xdr:rowOff>114300</xdr:rowOff>
              </to>
            </anchor>
          </objectPr>
        </oleObject>
      </mc:Choice>
      <mc:Fallback>
        <oleObject progId="Equation.3" shapeId="33793" r:id="rId3"/>
      </mc:Fallback>
    </mc:AlternateContent>
    <mc:AlternateContent xmlns:mc="http://schemas.openxmlformats.org/markup-compatibility/2006">
      <mc:Choice Requires="x14">
        <oleObject progId="Equation.3" shapeId="33794" r:id="rId5">
          <objectPr defaultSize="0" autoPict="0" r:id="rId6">
            <anchor moveWithCells="1" sizeWithCells="1">
              <from>
                <xdr:col>5</xdr:col>
                <xdr:colOff>66675</xdr:colOff>
                <xdr:row>23</xdr:row>
                <xdr:rowOff>114300</xdr:rowOff>
              </from>
              <to>
                <xdr:col>5</xdr:col>
                <xdr:colOff>1028700</xdr:colOff>
                <xdr:row>25</xdr:row>
                <xdr:rowOff>9525</xdr:rowOff>
              </to>
            </anchor>
          </objectPr>
        </oleObject>
      </mc:Choice>
      <mc:Fallback>
        <oleObject progId="Equation.3" shapeId="33794" r:id="rId5"/>
      </mc:Fallback>
    </mc:AlternateContent>
    <mc:AlternateContent xmlns:mc="http://schemas.openxmlformats.org/markup-compatibility/2006">
      <mc:Choice Requires="x14">
        <oleObject progId="Equation.3" shapeId="33795" r:id="rId7">
          <objectPr defaultSize="0" autoPict="0" r:id="rId8">
            <anchor moveWithCells="1" sizeWithCells="1">
              <from>
                <xdr:col>6</xdr:col>
                <xdr:colOff>28575</xdr:colOff>
                <xdr:row>23</xdr:row>
                <xdr:rowOff>47625</xdr:rowOff>
              </from>
              <to>
                <xdr:col>6</xdr:col>
                <xdr:colOff>1800225</xdr:colOff>
                <xdr:row>25</xdr:row>
                <xdr:rowOff>28575</xdr:rowOff>
              </to>
            </anchor>
          </objectPr>
        </oleObject>
      </mc:Choice>
      <mc:Fallback>
        <oleObject progId="Equation.3" shapeId="33795" r:id="rId7"/>
      </mc:Fallback>
    </mc:AlternateContent>
    <mc:AlternateContent xmlns:mc="http://schemas.openxmlformats.org/markup-compatibility/2006">
      <mc:Choice Requires="x14">
        <oleObject progId="Equation.3" shapeId="33796" r:id="rId9">
          <objectPr defaultSize="0" autoPict="0" r:id="rId10">
            <anchor moveWithCells="1" sizeWithCells="1">
              <from>
                <xdr:col>4</xdr:col>
                <xdr:colOff>114300</xdr:colOff>
                <xdr:row>16</xdr:row>
                <xdr:rowOff>104775</xdr:rowOff>
              </from>
              <to>
                <xdr:col>7</xdr:col>
                <xdr:colOff>161925</xdr:colOff>
                <xdr:row>21</xdr:row>
                <xdr:rowOff>57150</xdr:rowOff>
              </to>
            </anchor>
          </objectPr>
        </oleObject>
      </mc:Choice>
      <mc:Fallback>
        <oleObject progId="Equation.3" shapeId="33796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3"/>
  <sheetViews>
    <sheetView showGridLines="0" showRowColHeaders="0" workbookViewId="0">
      <selection activeCell="D12" sqref="D12"/>
    </sheetView>
  </sheetViews>
  <sheetFormatPr defaultColWidth="0" defaultRowHeight="12.75" zeroHeight="1" x14ac:dyDescent="0.2"/>
  <cols>
    <col min="1" max="1" width="3.5703125" customWidth="1"/>
    <col min="2" max="2" width="15.42578125" customWidth="1"/>
    <col min="3" max="3" width="34.140625" customWidth="1"/>
    <col min="4" max="4" width="26.140625" customWidth="1"/>
    <col min="5" max="5" width="3.5703125" style="82" customWidth="1"/>
    <col min="6" max="6" width="13.85546875" style="82" hidden="1" customWidth="1"/>
    <col min="7" max="7" width="2.140625" style="82" hidden="1" customWidth="1"/>
    <col min="8" max="8" width="15.85546875" style="82" hidden="1" customWidth="1"/>
    <col min="9" max="9" width="11.42578125" style="82" hidden="1" customWidth="1"/>
    <col min="10" max="10" width="2.140625" style="82" hidden="1" customWidth="1"/>
    <col min="11" max="11" width="13.42578125" style="82" hidden="1" customWidth="1"/>
    <col min="12" max="12" width="11.42578125" style="82" hidden="1" customWidth="1"/>
    <col min="13" max="13" width="2.140625" style="82" hidden="1" customWidth="1"/>
    <col min="14" max="15" width="11.42578125" style="82" hidden="1" customWidth="1"/>
    <col min="16" max="16" width="2.140625" style="82" hidden="1" customWidth="1"/>
    <col min="17" max="17" width="15" style="82" hidden="1" customWidth="1"/>
    <col min="18" max="18" width="2.140625" style="82" hidden="1" customWidth="1"/>
    <col min="19" max="19" width="12.28515625" style="82" hidden="1" customWidth="1"/>
    <col min="20" max="20" width="11.42578125" style="82" hidden="1" customWidth="1"/>
    <col min="21" max="21" width="2.140625" style="82" hidden="1" customWidth="1"/>
    <col min="22" max="22" width="11.42578125" style="82" hidden="1" customWidth="1"/>
    <col min="23" max="23" width="2.140625" style="82" hidden="1" customWidth="1"/>
    <col min="24" max="24" width="11.42578125" style="82" hidden="1" customWidth="1"/>
    <col min="25" max="25" width="2.140625" style="82" hidden="1" customWidth="1"/>
    <col min="26" max="27" width="11.42578125" style="82" hidden="1" customWidth="1"/>
    <col min="28" max="28" width="2.140625" style="82" hidden="1" customWidth="1"/>
    <col min="29" max="16384" width="11.42578125" style="82" hidden="1"/>
  </cols>
  <sheetData>
    <row r="1" spans="2:29" x14ac:dyDescent="0.2">
      <c r="F1" s="106" t="s">
        <v>125</v>
      </c>
      <c r="H1" s="145" t="s">
        <v>126</v>
      </c>
      <c r="I1" s="145"/>
      <c r="K1" s="145" t="s">
        <v>127</v>
      </c>
      <c r="L1" s="145"/>
      <c r="N1" s="145" t="s">
        <v>128</v>
      </c>
      <c r="O1" s="145"/>
      <c r="Q1" s="106" t="s">
        <v>129</v>
      </c>
      <c r="S1" s="145" t="s">
        <v>136</v>
      </c>
      <c r="T1" s="145"/>
      <c r="V1" s="106" t="s">
        <v>132</v>
      </c>
      <c r="X1" s="106" t="s">
        <v>141</v>
      </c>
      <c r="Z1" s="145" t="s">
        <v>143</v>
      </c>
      <c r="AA1" s="145"/>
      <c r="AC1" s="106" t="s">
        <v>163</v>
      </c>
    </row>
    <row r="2" spans="2:29" x14ac:dyDescent="0.2">
      <c r="F2" s="107">
        <v>10</v>
      </c>
      <c r="H2" s="107" t="s">
        <v>81</v>
      </c>
      <c r="I2" s="107">
        <v>0.1</v>
      </c>
      <c r="K2" s="107" t="s">
        <v>81</v>
      </c>
      <c r="L2" s="115">
        <v>0.25</v>
      </c>
      <c r="N2" s="107" t="s">
        <v>67</v>
      </c>
      <c r="O2" s="115">
        <v>0.15</v>
      </c>
      <c r="Q2" s="107" t="s">
        <v>7</v>
      </c>
      <c r="S2" s="107" t="s">
        <v>133</v>
      </c>
      <c r="T2" s="107">
        <f>VLOOKUP(D30,N2:O3,2,FALSE)</f>
        <v>0</v>
      </c>
      <c r="V2" s="108">
        <f ca="1">L7</f>
        <v>19196</v>
      </c>
      <c r="X2" s="107">
        <v>10000</v>
      </c>
      <c r="Z2" s="117" t="s">
        <v>142</v>
      </c>
      <c r="AA2" s="118">
        <f ca="1">ROUND(D22/(1-D24)*(1+T2),2)</f>
        <v>339.7</v>
      </c>
      <c r="AC2" s="107">
        <v>0</v>
      </c>
    </row>
    <row r="3" spans="2:29" x14ac:dyDescent="0.2">
      <c r="F3" s="107">
        <v>15</v>
      </c>
      <c r="H3" s="107" t="s">
        <v>82</v>
      </c>
      <c r="I3" s="107">
        <v>0</v>
      </c>
      <c r="K3" s="107" t="s">
        <v>82</v>
      </c>
      <c r="L3" s="107">
        <v>0</v>
      </c>
      <c r="N3" s="107" t="s">
        <v>83</v>
      </c>
      <c r="O3" s="107">
        <v>0</v>
      </c>
      <c r="Q3" s="107" t="s">
        <v>6</v>
      </c>
      <c r="S3" s="107" t="s">
        <v>127</v>
      </c>
      <c r="T3" s="107">
        <f>VLOOKUP(D34,K2:L3,2,FALSE)</f>
        <v>0.25</v>
      </c>
      <c r="V3" s="108">
        <f ca="1">L6</f>
        <v>38189</v>
      </c>
      <c r="X3" s="107">
        <v>10000000</v>
      </c>
      <c r="Z3" s="107" t="s">
        <v>144</v>
      </c>
      <c r="AA3" s="118">
        <f ca="1">ROUND(D22/(1-D24)*(1+T2)*(1+T3)+IF(D36="SI",IF(D30="FUMADOR",ROUND(ROUND(D22/(1-D24),2)*(1+T2),2)/11.5,D22/(1-D24)*0.1),0),2)</f>
        <v>458.59</v>
      </c>
      <c r="AC3" s="107">
        <v>0.5</v>
      </c>
    </row>
    <row r="4" spans="2:29" x14ac:dyDescent="0.2">
      <c r="F4" s="107">
        <v>20</v>
      </c>
      <c r="Q4" s="107" t="s">
        <v>5</v>
      </c>
      <c r="S4" s="107" t="s">
        <v>134</v>
      </c>
      <c r="T4" s="107">
        <f>VLOOKUP(D36,H2:I3,2,FALSE)</f>
        <v>0.1</v>
      </c>
      <c r="Z4" s="107" t="s">
        <v>145</v>
      </c>
      <c r="AA4" s="118">
        <f ca="1">ROUND(ROUND(D22/(1-D24)*(1+T2),2)*(1+T3),2)</f>
        <v>424.63</v>
      </c>
      <c r="AC4" s="107">
        <v>1</v>
      </c>
    </row>
    <row r="5" spans="2:29" x14ac:dyDescent="0.2">
      <c r="F5" s="107">
        <f ca="1">IF(D16&gt;=65,"",25)</f>
        <v>25</v>
      </c>
      <c r="H5" s="106" t="s">
        <v>130</v>
      </c>
      <c r="K5" s="106" t="s">
        <v>131</v>
      </c>
      <c r="Q5" s="107" t="s">
        <v>4</v>
      </c>
      <c r="S5" s="107" t="s">
        <v>135</v>
      </c>
      <c r="T5" s="107">
        <v>0</v>
      </c>
      <c r="Z5" s="107" t="s">
        <v>146</v>
      </c>
      <c r="AA5" s="107">
        <f ca="1">ROUND(D22/(1-D24)*(1+T2)*(1+T3)+IF(D36="SI",IF(D30="FUMADOR",ROUND(ROUND(D22/(1-D24),2)*(1+T2),2)/11.5,D22/(1-D24)*T4),0),2)</f>
        <v>458.59</v>
      </c>
      <c r="AC5" s="136">
        <v>1.5</v>
      </c>
    </row>
    <row r="6" spans="2:29" ht="15.75" x14ac:dyDescent="0.25">
      <c r="B6" s="141"/>
      <c r="C6" s="141"/>
      <c r="D6" s="141"/>
      <c r="F6" s="107">
        <f ca="1">IF(D16&gt;=60,"",30)</f>
        <v>30</v>
      </c>
      <c r="H6" s="107" t="s">
        <v>77</v>
      </c>
      <c r="K6" s="107">
        <v>18</v>
      </c>
      <c r="L6" s="126">
        <f ca="1">TODAY()-ROUNDUP(K6*365.25,0)+1</f>
        <v>38189</v>
      </c>
      <c r="AC6" s="136">
        <v>2</v>
      </c>
    </row>
    <row r="7" spans="2:29" ht="15.75" x14ac:dyDescent="0.25">
      <c r="B7" s="141" t="s">
        <v>155</v>
      </c>
      <c r="C7" s="141"/>
      <c r="D7" s="141"/>
      <c r="F7" s="125"/>
      <c r="H7" s="107" t="s">
        <v>76</v>
      </c>
      <c r="K7" s="107">
        <v>70</v>
      </c>
      <c r="L7" s="126">
        <f ca="1">TODAY()-ROUNDUP(K7*365.25,0)+1</f>
        <v>19196</v>
      </c>
      <c r="AC7" s="136">
        <v>2.5</v>
      </c>
    </row>
    <row r="8" spans="2:29" x14ac:dyDescent="0.2">
      <c r="B8" s="142" t="s">
        <v>152</v>
      </c>
      <c r="C8" s="142"/>
      <c r="D8" s="142"/>
      <c r="AC8" s="136">
        <v>3</v>
      </c>
    </row>
    <row r="9" spans="2:29" x14ac:dyDescent="0.2"/>
    <row r="10" spans="2:29" x14ac:dyDescent="0.2">
      <c r="B10" s="1" t="s">
        <v>88</v>
      </c>
      <c r="C10" s="146" t="s">
        <v>187</v>
      </c>
      <c r="D10" s="146"/>
    </row>
    <row r="11" spans="2:29" ht="6.75" customHeight="1" x14ac:dyDescent="0.2"/>
    <row r="12" spans="2:29" x14ac:dyDescent="0.2">
      <c r="B12" s="1" t="s">
        <v>71</v>
      </c>
      <c r="C12" s="1"/>
      <c r="D12" s="91">
        <v>50000</v>
      </c>
    </row>
    <row r="13" spans="2:29" ht="6.75" customHeight="1" x14ac:dyDescent="0.2">
      <c r="B13" s="1"/>
      <c r="C13" s="1"/>
    </row>
    <row r="14" spans="2:29" x14ac:dyDescent="0.2">
      <c r="B14" s="1" t="s">
        <v>86</v>
      </c>
      <c r="C14" s="1"/>
      <c r="D14" s="109">
        <v>27293</v>
      </c>
    </row>
    <row r="15" spans="2:29" ht="6.75" customHeight="1" x14ac:dyDescent="0.2">
      <c r="B15" s="1"/>
      <c r="C15" s="1"/>
      <c r="D15" s="89"/>
    </row>
    <row r="16" spans="2:29" x14ac:dyDescent="0.2">
      <c r="B16" s="1" t="s">
        <v>75</v>
      </c>
      <c r="C16" s="1"/>
      <c r="D16" s="90">
        <f ca="1">ROUNDDOWN((((TODAY()))-D14)/365.25,0)</f>
        <v>47</v>
      </c>
    </row>
    <row r="17" spans="2:4" ht="6.75" customHeight="1" x14ac:dyDescent="0.2">
      <c r="B17" s="1"/>
      <c r="C17" s="1"/>
    </row>
    <row r="18" spans="2:4" x14ac:dyDescent="0.2">
      <c r="B18" s="1" t="s">
        <v>156</v>
      </c>
      <c r="C18" s="1"/>
      <c r="D18" s="92">
        <v>15</v>
      </c>
    </row>
    <row r="19" spans="2:4" ht="6.75" customHeight="1" x14ac:dyDescent="0.2">
      <c r="B19" s="1"/>
      <c r="C19" s="1"/>
    </row>
    <row r="20" spans="2:4" x14ac:dyDescent="0.2">
      <c r="B20" s="1" t="s">
        <v>157</v>
      </c>
      <c r="C20" s="1"/>
      <c r="D20" s="124" t="s">
        <v>76</v>
      </c>
    </row>
    <row r="21" spans="2:4" ht="15.75" hidden="1" customHeight="1" x14ac:dyDescent="0.2">
      <c r="B21" s="1"/>
      <c r="C21" s="1"/>
      <c r="D21">
        <f ca="1">+IF(D20="HOMBRE",IF(D18=10,VLOOKUP(D16,'TARIFAS T-10'!B16:C74,2),IF(COTIZADOR!D18=15,VLOOKUP(COTIZADOR!D16,'TARIFAS T-15'!B16:L74,2),IF(COTIZADOR!D18=20,VLOOKUP(COTIZADOR!D16,'TARIFAS T-20'!B16:L74,2),IF(COTIZADOR!D18=25,VLOOKUP(COTIZADOR!D16,'TARIFAS T-25'!B16:L74,2),IF(COTIZADOR!D18=30,VLOOKUP(COTIZADOR!D16,'TARIFAS T-30'!B16:L74,2))))))*(D12/1000),IF(D20="MUJER",IF(D18=10,VLOOKUP(D16-3,'TARIFAS T-10'!B16:L74,2),IF(COTIZADOR!D18=15,VLOOKUP(COTIZADOR!D16-3,'TARIFAS T-15'!B16:L74,2),IF(COTIZADOR!D18=20,VLOOKUP(COTIZADOR!D16-3,'TARIFAS T-20'!B16:L74,2),IF(COTIZADOR!D18=25,VLOOKUP(COTIZADOR!D16-3,'TARIFAS T-25'!B16:L74,2),IF(COTIZADOR!D18=30,VLOOKUP(COTIZADOR!D16-3,'TARIFAS T-30'!B16:L74,2))))))*(D12/1000)))</f>
        <v>339.69969769119268</v>
      </c>
    </row>
    <row r="22" spans="2:4" hidden="1" x14ac:dyDescent="0.2">
      <c r="B22" s="1" t="s">
        <v>69</v>
      </c>
      <c r="C22" s="1"/>
      <c r="D22" s="84">
        <f ca="1">D21/D12*1000*D12/1000</f>
        <v>339.69969769119268</v>
      </c>
    </row>
    <row r="23" spans="2:4" hidden="1" x14ac:dyDescent="0.2">
      <c r="B23" s="1"/>
      <c r="C23" s="1"/>
    </row>
    <row r="24" spans="2:4" hidden="1" x14ac:dyDescent="0.2">
      <c r="B24" s="1" t="s">
        <v>70</v>
      </c>
      <c r="C24" s="1"/>
      <c r="D24" s="83">
        <v>0</v>
      </c>
    </row>
    <row r="25" spans="2:4" hidden="1" x14ac:dyDescent="0.2">
      <c r="B25" s="1"/>
      <c r="C25" s="1"/>
    </row>
    <row r="27" spans="2:4" ht="6.75" customHeight="1" x14ac:dyDescent="0.2"/>
    <row r="28" spans="2:4" x14ac:dyDescent="0.2">
      <c r="B28" s="1" t="s">
        <v>73</v>
      </c>
      <c r="C28" s="1"/>
      <c r="D28" s="93" t="s">
        <v>4</v>
      </c>
    </row>
    <row r="29" spans="2:4" ht="6.75" customHeight="1" x14ac:dyDescent="0.2">
      <c r="B29" s="1"/>
      <c r="C29" s="1"/>
      <c r="D29" s="86"/>
    </row>
    <row r="30" spans="2:4" x14ac:dyDescent="0.2">
      <c r="B30" s="1" t="s">
        <v>154</v>
      </c>
      <c r="C30" s="1"/>
      <c r="D30" s="93" t="s">
        <v>83</v>
      </c>
    </row>
    <row r="31" spans="2:4" ht="6.75" customHeight="1" x14ac:dyDescent="0.2">
      <c r="B31" s="1"/>
      <c r="C31" s="1"/>
      <c r="D31" s="86"/>
    </row>
    <row r="32" spans="2:4" ht="12.75" customHeight="1" x14ac:dyDescent="0.2">
      <c r="B32" s="1" t="s">
        <v>164</v>
      </c>
      <c r="C32" s="1"/>
      <c r="D32" s="93">
        <v>0</v>
      </c>
    </row>
    <row r="33" spans="2:9" ht="6.75" customHeight="1" x14ac:dyDescent="0.2">
      <c r="B33" s="1"/>
      <c r="C33" s="1"/>
      <c r="D33" s="86"/>
    </row>
    <row r="34" spans="2:9" x14ac:dyDescent="0.2">
      <c r="B34" s="105" t="s">
        <v>84</v>
      </c>
      <c r="C34" s="1"/>
      <c r="D34" s="93" t="s">
        <v>81</v>
      </c>
    </row>
    <row r="35" spans="2:9" ht="6.75" customHeight="1" x14ac:dyDescent="0.2">
      <c r="B35" s="1"/>
      <c r="C35" s="1"/>
      <c r="D35" s="86"/>
    </row>
    <row r="36" spans="2:9" x14ac:dyDescent="0.2">
      <c r="B36" s="1" t="s">
        <v>85</v>
      </c>
      <c r="C36" s="1"/>
      <c r="D36" s="124" t="s">
        <v>81</v>
      </c>
    </row>
    <row r="37" spans="2:9" ht="6.75" customHeight="1" x14ac:dyDescent="0.2">
      <c r="B37" s="1"/>
      <c r="C37" s="1"/>
      <c r="D37" s="86"/>
    </row>
    <row r="38" spans="2:9" x14ac:dyDescent="0.2">
      <c r="B38" s="1" t="s">
        <v>153</v>
      </c>
      <c r="C38" s="1"/>
      <c r="D38" s="123" t="s">
        <v>81</v>
      </c>
    </row>
    <row r="39" spans="2:9" ht="16.5" customHeight="1" x14ac:dyDescent="0.2">
      <c r="B39" s="127" t="s">
        <v>158</v>
      </c>
      <c r="C39" s="1"/>
      <c r="D39" s="135"/>
    </row>
    <row r="40" spans="2:9" x14ac:dyDescent="0.2">
      <c r="B40" s="1" t="s">
        <v>72</v>
      </c>
      <c r="C40" s="1"/>
      <c r="D40" s="94">
        <f ca="1">IF(D34="NO",IF(D36="NO",AA2,AA3),IF(D36="NO",AA4,AA5))+(D32*D12/1000)</f>
        <v>458.59</v>
      </c>
      <c r="F40" s="116"/>
      <c r="G40" s="116"/>
      <c r="H40" s="116"/>
      <c r="I40" s="116"/>
    </row>
    <row r="41" spans="2:9" ht="6.75" customHeight="1" x14ac:dyDescent="0.2"/>
    <row r="42" spans="2:9" x14ac:dyDescent="0.2">
      <c r="B42" s="1" t="s">
        <v>74</v>
      </c>
      <c r="C42" s="1"/>
      <c r="D42" s="94">
        <f ca="1">+IF(D28="MENSUAL",D40*(1+7%)/12,IF(D28="TRIMESTRAL",D40*(1+6%)/4,IF(D28="SEMESTRAL",D40*(1+4%)/2,IF(D28="ANUAL",D40))))</f>
        <v>40.89094166666667</v>
      </c>
      <c r="F42" s="116"/>
    </row>
    <row r="43" spans="2:9" ht="6.75" customHeight="1" x14ac:dyDescent="0.2"/>
  </sheetData>
  <sheetProtection algorithmName="SHA-512" hashValue="7orQi6XH/cpPrcxNxghzKMwE/jRfhQKwvHzobQhaUBkWDJEttqWmlxCI05UbzDSXmNK/y8CnDo5K7fpYgUquZw==" saltValue="BGFcE5MvF+fGcXdjA/jepw==" spinCount="100000" sheet="1" selectLockedCells="1"/>
  <mergeCells count="9">
    <mergeCell ref="S1:T1"/>
    <mergeCell ref="Z1:AA1"/>
    <mergeCell ref="B6:D6"/>
    <mergeCell ref="B8:D8"/>
    <mergeCell ref="C10:D10"/>
    <mergeCell ref="H1:I1"/>
    <mergeCell ref="K1:L1"/>
    <mergeCell ref="N1:O1"/>
    <mergeCell ref="B7:D7"/>
  </mergeCells>
  <dataValidations count="10">
    <dataValidation type="whole" allowBlank="1" showInputMessage="1" showErrorMessage="1" prompt="Suma asegurada debe ser entre $10,000.00 y $10,000,000.00 de dólares." sqref="D12" xr:uid="{00000000-0002-0000-0100-000000000000}">
      <formula1>X2</formula1>
      <formula2>X3</formula2>
    </dataValidation>
    <dataValidation type="list" allowBlank="1" showInputMessage="1" showErrorMessage="1" sqref="D18" xr:uid="{00000000-0002-0000-0100-000001000000}">
      <formula1>$F$2:$F$6</formula1>
    </dataValidation>
    <dataValidation type="list" allowBlank="1" showInputMessage="1" showErrorMessage="1" sqref="D34" xr:uid="{00000000-0002-0000-0100-000002000000}">
      <formula1>$H$2:$H$3</formula1>
    </dataValidation>
    <dataValidation type="list" allowBlank="1" showInputMessage="1" showErrorMessage="1" sqref="D36" xr:uid="{00000000-0002-0000-0100-000003000000}">
      <formula1>K2:K3</formula1>
    </dataValidation>
    <dataValidation type="list" allowBlank="1" showInputMessage="1" showErrorMessage="1" sqref="D30" xr:uid="{00000000-0002-0000-0100-000004000000}">
      <formula1>$N$2:$N$3</formula1>
    </dataValidation>
    <dataValidation type="list" allowBlank="1" showInputMessage="1" showErrorMessage="1" sqref="D28" xr:uid="{00000000-0002-0000-0100-000005000000}">
      <formula1>$Q$2:$Q$5</formula1>
    </dataValidation>
    <dataValidation type="date" allowBlank="1" showInputMessage="1" showErrorMessage="1" sqref="D14" xr:uid="{00000000-0002-0000-0100-000006000000}">
      <formula1>V2</formula1>
      <formula2>V3</formula2>
    </dataValidation>
    <dataValidation type="list" allowBlank="1" showInputMessage="1" showErrorMessage="1" sqref="D20" xr:uid="{00000000-0002-0000-0100-000007000000}">
      <formula1>$H$6:$H$7</formula1>
    </dataValidation>
    <dataValidation type="whole" allowBlank="1" showInputMessage="1" showErrorMessage="1" sqref="D16" xr:uid="{00000000-0002-0000-0100-000008000000}">
      <formula1>K6</formula1>
      <formula2>K7</formula2>
    </dataValidation>
    <dataValidation type="decimal" allowBlank="1" showInputMessage="1" showErrorMessage="1" sqref="D32" xr:uid="{00000000-0002-0000-0100-000009000000}">
      <formula1>0</formula1>
      <formula2>999.99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59"/>
  <sheetViews>
    <sheetView showGridLines="0" showRowColHeaders="0" tabSelected="1" zoomScaleNormal="100" workbookViewId="0">
      <selection activeCell="K48" sqref="K48"/>
    </sheetView>
  </sheetViews>
  <sheetFormatPr defaultColWidth="0" defaultRowHeight="12.75" zeroHeight="1" x14ac:dyDescent="0.2"/>
  <cols>
    <col min="1" max="1" width="3.5703125" customWidth="1"/>
    <col min="2" max="2" width="12.5703125" style="50" customWidth="1"/>
    <col min="3" max="3" width="17.140625" style="50" customWidth="1"/>
    <col min="4" max="4" width="3.5703125" style="50" customWidth="1"/>
    <col min="5" max="8" width="7.5703125" style="50" customWidth="1"/>
    <col min="9" max="9" width="3.5703125" style="50" customWidth="1"/>
    <col min="10" max="13" width="7.5703125" style="50" customWidth="1"/>
    <col min="14" max="14" width="3.5703125" style="50" customWidth="1"/>
    <col min="15" max="15" width="3.5703125" style="62" customWidth="1"/>
    <col min="16" max="20" width="9.140625" style="120" hidden="1" customWidth="1"/>
    <col min="21" max="36" width="9.140625" style="62" hidden="1" customWidth="1"/>
    <col min="37" max="16384" width="9.140625" hidden="1"/>
  </cols>
  <sheetData>
    <row r="1" spans="1:36" x14ac:dyDescent="0.2">
      <c r="B1"/>
      <c r="C1"/>
      <c r="D1"/>
      <c r="E1"/>
      <c r="F1" s="95"/>
      <c r="G1"/>
      <c r="H1" s="147">
        <f ca="1">TODAY()</f>
        <v>44763</v>
      </c>
      <c r="I1" s="147"/>
      <c r="J1" s="147"/>
      <c r="K1" s="147"/>
      <c r="L1" s="147"/>
      <c r="M1" s="147"/>
      <c r="N1" s="147"/>
    </row>
    <row r="2" spans="1:36" x14ac:dyDescent="0.2">
      <c r="B2"/>
      <c r="C2"/>
      <c r="D2"/>
      <c r="E2"/>
      <c r="F2"/>
      <c r="G2"/>
      <c r="H2"/>
      <c r="I2"/>
      <c r="J2"/>
      <c r="K2"/>
      <c r="L2"/>
      <c r="M2"/>
      <c r="N2"/>
    </row>
    <row r="3" spans="1:36" s="102" customFormat="1" ht="15" x14ac:dyDescent="0.25">
      <c r="A3"/>
      <c r="B3"/>
      <c r="C3"/>
      <c r="E3" s="155" t="s">
        <v>87</v>
      </c>
      <c r="F3" s="155"/>
      <c r="G3" s="155"/>
      <c r="H3" s="155"/>
      <c r="I3" s="155"/>
      <c r="J3" s="155"/>
      <c r="K3" s="155"/>
      <c r="L3" s="155"/>
      <c r="M3" s="155"/>
      <c r="N3" s="155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</row>
    <row r="4" spans="1:36" x14ac:dyDescent="0.2">
      <c r="B4"/>
      <c r="C4"/>
      <c r="D4"/>
      <c r="E4"/>
      <c r="F4"/>
      <c r="G4"/>
      <c r="H4"/>
      <c r="I4"/>
      <c r="J4"/>
      <c r="K4"/>
      <c r="L4"/>
      <c r="M4"/>
      <c r="N4"/>
      <c r="Y4" s="62">
        <v>75000</v>
      </c>
      <c r="Z4" s="62">
        <v>150000</v>
      </c>
      <c r="AA4" s="62">
        <v>300000</v>
      </c>
      <c r="AB4" s="62">
        <v>750000</v>
      </c>
    </row>
    <row r="5" spans="1:36" x14ac:dyDescent="0.2">
      <c r="B5" s="82" t="s">
        <v>123</v>
      </c>
      <c r="C5" s="82"/>
      <c r="D5"/>
      <c r="E5"/>
      <c r="F5"/>
      <c r="G5"/>
      <c r="H5"/>
      <c r="I5"/>
      <c r="J5"/>
      <c r="K5"/>
      <c r="L5"/>
      <c r="M5"/>
      <c r="N5"/>
    </row>
    <row r="6" spans="1:36" x14ac:dyDescent="0.2">
      <c r="B6"/>
      <c r="C6"/>
      <c r="D6"/>
      <c r="E6"/>
      <c r="F6"/>
      <c r="G6"/>
      <c r="H6"/>
      <c r="I6"/>
      <c r="J6"/>
      <c r="K6"/>
      <c r="L6"/>
      <c r="M6"/>
      <c r="N6"/>
      <c r="U6" s="62" t="s">
        <v>104</v>
      </c>
      <c r="Y6" s="62">
        <v>1</v>
      </c>
      <c r="Z6" s="62">
        <v>2</v>
      </c>
      <c r="AA6" s="62">
        <v>3</v>
      </c>
      <c r="AB6" s="62">
        <v>4</v>
      </c>
      <c r="AC6" s="62">
        <v>5</v>
      </c>
    </row>
    <row r="7" spans="1:36" x14ac:dyDescent="0.2">
      <c r="B7" s="82" t="s">
        <v>89</v>
      </c>
      <c r="C7" s="82"/>
      <c r="E7" s="148" t="str">
        <f>UPPER(COTIZADOR!C10)</f>
        <v>JUANA PÉREZ</v>
      </c>
      <c r="F7" s="148"/>
      <c r="G7" s="148"/>
      <c r="H7" s="148"/>
      <c r="I7" s="148"/>
      <c r="J7" s="148"/>
      <c r="K7" s="148"/>
      <c r="L7" s="148"/>
      <c r="M7" s="148"/>
      <c r="N7" s="110"/>
      <c r="U7" s="62" t="s">
        <v>110</v>
      </c>
      <c r="W7" s="62">
        <v>39</v>
      </c>
      <c r="X7" s="62">
        <v>1</v>
      </c>
      <c r="Y7" s="62" t="s">
        <v>174</v>
      </c>
      <c r="Z7" s="62" t="s">
        <v>173</v>
      </c>
      <c r="AA7" s="62" t="s">
        <v>172</v>
      </c>
      <c r="AB7" s="62" t="s">
        <v>171</v>
      </c>
      <c r="AC7" s="62" t="s">
        <v>170</v>
      </c>
    </row>
    <row r="8" spans="1:36" x14ac:dyDescent="0.2">
      <c r="B8" s="82" t="s">
        <v>90</v>
      </c>
      <c r="C8" s="82"/>
      <c r="E8" s="151">
        <f>COTIZADOR!D12</f>
        <v>50000</v>
      </c>
      <c r="F8" s="151"/>
      <c r="G8" s="151"/>
      <c r="H8" s="151"/>
      <c r="I8" s="151"/>
      <c r="J8" s="151"/>
      <c r="K8" s="151"/>
      <c r="L8" s="151"/>
      <c r="M8" s="151"/>
      <c r="N8" s="111"/>
      <c r="U8" s="62" t="s">
        <v>105</v>
      </c>
      <c r="W8" s="62">
        <v>49</v>
      </c>
      <c r="X8" s="62">
        <v>2</v>
      </c>
      <c r="Y8" s="62" t="s">
        <v>175</v>
      </c>
      <c r="Z8" s="62" t="s">
        <v>176</v>
      </c>
      <c r="AA8" s="62" t="s">
        <v>171</v>
      </c>
      <c r="AB8" s="62" t="s">
        <v>177</v>
      </c>
      <c r="AC8" s="62" t="s">
        <v>178</v>
      </c>
    </row>
    <row r="9" spans="1:36" x14ac:dyDescent="0.2">
      <c r="B9" s="82" t="s">
        <v>91</v>
      </c>
      <c r="C9" s="82"/>
      <c r="E9" s="152">
        <f>COTIZADOR!D14</f>
        <v>27293</v>
      </c>
      <c r="F9" s="152"/>
      <c r="G9" s="152"/>
      <c r="H9" s="152"/>
      <c r="I9" s="152"/>
      <c r="J9" s="152"/>
      <c r="K9" s="152"/>
      <c r="L9" s="152"/>
      <c r="M9" s="152"/>
      <c r="N9" s="112"/>
      <c r="U9" s="62" t="s">
        <v>106</v>
      </c>
      <c r="W9" s="62">
        <v>59</v>
      </c>
      <c r="X9" s="62">
        <v>3</v>
      </c>
      <c r="Y9" s="62" t="s">
        <v>179</v>
      </c>
      <c r="Z9" s="62" t="s">
        <v>171</v>
      </c>
      <c r="AA9" s="62" t="s">
        <v>182</v>
      </c>
      <c r="AB9" s="62" t="s">
        <v>178</v>
      </c>
      <c r="AC9" s="62" t="s">
        <v>178</v>
      </c>
    </row>
    <row r="10" spans="1:36" x14ac:dyDescent="0.2">
      <c r="B10" s="82" t="s">
        <v>92</v>
      </c>
      <c r="C10" s="82"/>
      <c r="E10" s="153" t="str">
        <f ca="1">COTIZADOR!D16&amp;" años"</f>
        <v>47 años</v>
      </c>
      <c r="F10" s="153"/>
      <c r="G10" s="153"/>
      <c r="H10" s="153"/>
      <c r="I10" s="153"/>
      <c r="J10" s="153"/>
      <c r="K10" s="153"/>
      <c r="L10" s="153"/>
      <c r="M10" s="153"/>
      <c r="N10" s="113"/>
      <c r="U10" s="62" t="s">
        <v>107</v>
      </c>
      <c r="X10" s="62">
        <v>4</v>
      </c>
      <c r="Y10" s="62" t="s">
        <v>180</v>
      </c>
      <c r="Z10" s="62" t="s">
        <v>181</v>
      </c>
      <c r="AA10" s="62" t="s">
        <v>170</v>
      </c>
      <c r="AB10" s="62" t="s">
        <v>178</v>
      </c>
      <c r="AC10" s="62" t="s">
        <v>178</v>
      </c>
    </row>
    <row r="11" spans="1:36" x14ac:dyDescent="0.2">
      <c r="B11" s="82" t="s">
        <v>93</v>
      </c>
      <c r="C11" s="82"/>
      <c r="E11" s="153" t="str">
        <f>COTIZADOR!D20</f>
        <v>MUJER</v>
      </c>
      <c r="F11" s="153"/>
      <c r="G11" s="153"/>
      <c r="H11" s="153"/>
      <c r="I11" s="153"/>
      <c r="J11" s="153"/>
      <c r="K11" s="153"/>
      <c r="L11" s="153"/>
      <c r="M11" s="153"/>
      <c r="N11" s="113"/>
      <c r="U11" s="62" t="s">
        <v>108</v>
      </c>
    </row>
    <row r="12" spans="1:36" x14ac:dyDescent="0.2">
      <c r="B12" s="82" t="s">
        <v>94</v>
      </c>
      <c r="C12" s="82"/>
      <c r="E12" s="153" t="str">
        <f>COTIZADOR!D30</f>
        <v>NO FUMADOR</v>
      </c>
      <c r="F12" s="153"/>
      <c r="G12" s="153"/>
      <c r="H12" s="153"/>
      <c r="I12" s="153"/>
      <c r="J12" s="153"/>
      <c r="K12" s="153"/>
      <c r="L12" s="153"/>
      <c r="M12" s="153"/>
      <c r="N12" s="113"/>
      <c r="U12" s="62" t="s">
        <v>109</v>
      </c>
      <c r="W12" s="62">
        <f ca="1">COTIZADOR!D16</f>
        <v>47</v>
      </c>
      <c r="Y12" s="62">
        <f ca="1">IF(W12&lt;=W7,1,IF(W12&lt;=W8,2,IF(W12&lt;=W9,3,4)))</f>
        <v>2</v>
      </c>
      <c r="AA12" s="62">
        <f>IF(E8&lt;=Y4,1,IF(E8&lt;=Z4,2,IF(E8&lt;=AA4,3,IF(E8&lt;=AB4,4,5))))</f>
        <v>1</v>
      </c>
    </row>
    <row r="13" spans="1:36" x14ac:dyDescent="0.2">
      <c r="B13" s="82" t="s">
        <v>95</v>
      </c>
      <c r="C13" s="82"/>
      <c r="E13" s="148" t="str">
        <f>COTIZADOR!D18&amp;" Años"</f>
        <v>15 Años</v>
      </c>
      <c r="F13" s="148"/>
      <c r="G13" s="148"/>
      <c r="H13" s="148"/>
      <c r="I13" s="148"/>
      <c r="J13" s="148"/>
      <c r="K13" s="148"/>
      <c r="L13" s="148"/>
      <c r="M13" s="148"/>
      <c r="N13" s="110"/>
      <c r="U13" s="62" t="s">
        <v>166</v>
      </c>
      <c r="X13" s="62">
        <v>1</v>
      </c>
      <c r="Y13" s="62" t="str">
        <f ca="1">VLOOKUP(Y12,X7:AC10,2,TRUE)</f>
        <v>Declaración de salud y Análisis de orina.</v>
      </c>
      <c r="AA13" s="62" t="str">
        <f ca="1">VLOOKUP(AA12,X13:Y17,2,TRUE)</f>
        <v>Declaración de salud y Análisis de orina.</v>
      </c>
    </row>
    <row r="14" spans="1:36" x14ac:dyDescent="0.2">
      <c r="B14"/>
      <c r="C14"/>
      <c r="D14"/>
      <c r="E14"/>
      <c r="F14"/>
      <c r="G14"/>
      <c r="H14"/>
      <c r="I14"/>
      <c r="J14"/>
      <c r="K14"/>
      <c r="L14"/>
      <c r="M14"/>
      <c r="N14"/>
      <c r="U14" s="62" t="s">
        <v>167</v>
      </c>
      <c r="X14" s="62">
        <v>2</v>
      </c>
      <c r="Y14" s="62" t="str">
        <f ca="1">VLOOKUP(Y12,X7:AC10,3,TRUE)</f>
        <v>Examen Médico, Análisis de orina y HIV.</v>
      </c>
    </row>
    <row r="15" spans="1:36" x14ac:dyDescent="0.2">
      <c r="B15" s="82" t="s">
        <v>96</v>
      </c>
      <c r="C15" s="82"/>
      <c r="D15"/>
      <c r="E15" s="148" t="s">
        <v>90</v>
      </c>
      <c r="F15" s="148"/>
      <c r="G15" s="148"/>
      <c r="H15" s="148"/>
      <c r="I15"/>
      <c r="J15" s="148" t="s">
        <v>102</v>
      </c>
      <c r="K15" s="148"/>
      <c r="L15" s="148"/>
      <c r="M15" s="148"/>
      <c r="N15"/>
      <c r="U15" s="62" t="s">
        <v>168</v>
      </c>
      <c r="X15" s="62">
        <v>3</v>
      </c>
      <c r="Y15" s="62" t="str">
        <f ca="1">VLOOKUP(Y12,X7:AC10,4,TRUE)</f>
        <v>Examen Médico, Análisis de orina, ECG reposo, HIV y LAB 1.</v>
      </c>
    </row>
    <row r="16" spans="1:36" x14ac:dyDescent="0.2">
      <c r="B16" s="82" t="s">
        <v>97</v>
      </c>
      <c r="C16" s="82"/>
      <c r="D16"/>
      <c r="E16" s="154">
        <f>COTIZADOR!D12</f>
        <v>50000</v>
      </c>
      <c r="F16" s="154"/>
      <c r="G16" s="154"/>
      <c r="H16" s="154"/>
      <c r="I16"/>
      <c r="J16" s="150">
        <f ca="1">(COTIZADOR!D22/(1-COTIZADOR!D24))*(1+COTIZADOR!T2)</f>
        <v>339.69969769119268</v>
      </c>
      <c r="K16" s="150"/>
      <c r="L16" s="150"/>
      <c r="M16" s="150"/>
      <c r="N16"/>
      <c r="U16" s="62" t="s">
        <v>169</v>
      </c>
      <c r="X16" s="62">
        <v>4</v>
      </c>
      <c r="Y16" s="62" t="str">
        <f ca="1">VLOOKUP(Y12,X7:AC10,5,TRUE)</f>
        <v>Examen Médico, Análisis de orina, Prueba de Esfuerzo, HIV, LAB 1 y Rx tórax.</v>
      </c>
    </row>
    <row r="17" spans="1:36" x14ac:dyDescent="0.2">
      <c r="B17" s="82" t="s">
        <v>98</v>
      </c>
      <c r="C17" s="82"/>
      <c r="D17"/>
      <c r="E17" s="150">
        <f>2000</f>
        <v>2000</v>
      </c>
      <c r="F17" s="150"/>
      <c r="G17" s="150"/>
      <c r="H17" s="150"/>
      <c r="I17"/>
      <c r="J17" s="157" t="s">
        <v>124</v>
      </c>
      <c r="K17" s="157"/>
      <c r="L17" s="157"/>
      <c r="M17" s="157"/>
      <c r="N17"/>
      <c r="X17" s="62">
        <v>5</v>
      </c>
      <c r="Y17" s="62" t="str">
        <f ca="1">VLOOKUP(Y12,X7:AC10,6,TRUE)</f>
        <v>Examen Médico, Análisis de orina, Prueba de Esfuerzo, HIV, LAB 2 y Rx tórax.</v>
      </c>
    </row>
    <row r="18" spans="1:36" ht="25.5" customHeight="1" x14ac:dyDescent="0.2">
      <c r="B18" s="149" t="s">
        <v>99</v>
      </c>
      <c r="C18" s="149"/>
      <c r="D18" s="149"/>
      <c r="E18" s="150">
        <f>IF(COTIZADOR!D36="SI",COTIZADOR!D12,0)</f>
        <v>50000</v>
      </c>
      <c r="F18" s="150"/>
      <c r="G18" s="150"/>
      <c r="H18" s="150"/>
      <c r="I18"/>
      <c r="J18" s="150">
        <f ca="1">IF(COTIZADOR!D36="SI",COTIZADOR!D22*0.1,0)</f>
        <v>33.969969769119267</v>
      </c>
      <c r="K18" s="150"/>
      <c r="L18" s="150"/>
      <c r="M18" s="150"/>
      <c r="N18"/>
    </row>
    <row r="19" spans="1:36" ht="25.5" customHeight="1" x14ac:dyDescent="0.2">
      <c r="B19" s="149" t="s">
        <v>101</v>
      </c>
      <c r="C19" s="149"/>
      <c r="D19" s="149"/>
      <c r="E19" s="150">
        <f>IF(COTIZADOR!D34="SI",COTIZADOR!D12,0)</f>
        <v>50000</v>
      </c>
      <c r="F19" s="150"/>
      <c r="G19" s="150"/>
      <c r="H19" s="150"/>
      <c r="I19"/>
      <c r="J19" s="150">
        <f ca="1">J16*COTIZADOR!T3</f>
        <v>84.924924422798171</v>
      </c>
      <c r="K19" s="150"/>
      <c r="L19" s="150"/>
      <c r="M19" s="150"/>
      <c r="N19"/>
    </row>
    <row r="20" spans="1:36" x14ac:dyDescent="0.2">
      <c r="B20" s="134" t="s">
        <v>165</v>
      </c>
      <c r="C20" s="133"/>
      <c r="D20" s="133"/>
      <c r="E20" s="150">
        <f>E16</f>
        <v>50000</v>
      </c>
      <c r="F20" s="150"/>
      <c r="G20" s="150"/>
      <c r="H20" s="150"/>
      <c r="I20"/>
      <c r="J20" s="150">
        <f>COTIZADOR!D32*COTIZADOR!D12/1000</f>
        <v>0</v>
      </c>
      <c r="K20" s="150"/>
      <c r="L20" s="150"/>
      <c r="M20" s="150"/>
      <c r="N20"/>
    </row>
    <row r="21" spans="1:36" x14ac:dyDescent="0.2">
      <c r="B21" s="82" t="s">
        <v>100</v>
      </c>
      <c r="C21" s="82"/>
      <c r="D21" s="98"/>
      <c r="E21" s="103"/>
      <c r="F21" s="103"/>
      <c r="G21" s="103"/>
      <c r="H21" s="103"/>
      <c r="I21" s="103"/>
      <c r="J21" s="156">
        <f ca="1">J16+J18+J19+J20</f>
        <v>458.59459188311007</v>
      </c>
      <c r="K21" s="156"/>
      <c r="L21" s="156"/>
      <c r="M21" s="156"/>
      <c r="N21"/>
    </row>
    <row r="22" spans="1:36" ht="6.75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36" x14ac:dyDescent="0.2">
      <c r="B23" s="148" t="s">
        <v>103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36" s="100" customFormat="1" x14ac:dyDescent="0.2">
      <c r="A24"/>
      <c r="B24" s="144" t="str">
        <f ca="1">AA13</f>
        <v>Declaración de salud y Análisis de orina.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P24" s="137"/>
      <c r="Q24" s="137"/>
      <c r="R24" s="137"/>
      <c r="S24" s="137"/>
      <c r="T24" s="137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</row>
    <row r="25" spans="1:36" ht="6.75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36" x14ac:dyDescent="0.2">
      <c r="B26" s="148" t="s">
        <v>111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36" s="101" customFormat="1" x14ac:dyDescent="0.2">
      <c r="A27"/>
      <c r="B27" s="143" t="s">
        <v>159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</row>
    <row r="28" spans="1:36" ht="6.75" customHeight="1" x14ac:dyDescent="0.2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36" x14ac:dyDescent="0.2">
      <c r="B29" s="148" t="s">
        <v>112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36" x14ac:dyDescent="0.2">
      <c r="B30" s="114" t="s">
        <v>137</v>
      </c>
      <c r="C30" s="97" t="str">
        <f ca="1">"1 cuota de $"&amp;TEXT(ROUND(J21,2),"###,##0.00")&amp;" (al suscribir el Seguro y $"&amp;TEXT(ROUND(J21,2),"###,##0.00")&amp;" cada año de vigencia)."</f>
        <v>1 cuota de $458.59 (al suscribir el Seguro y $458.59 cada año de vigencia).</v>
      </c>
      <c r="G30" s="128"/>
      <c r="N30"/>
    </row>
    <row r="31" spans="1:36" x14ac:dyDescent="0.2">
      <c r="B31" s="114" t="s">
        <v>138</v>
      </c>
      <c r="C31" s="97" t="str">
        <f ca="1">"1 cuota de $"&amp;TEXT(ROUND(J21*(1+4%)/2,2),"###,##0.00")&amp;" (al suscribir el Seguro y $"&amp;TEXT(ROUND(J21*(1+4%)/2,2),"###,##0.00")&amp;" cada semestre de vigencia)."</f>
        <v>1 cuota de $238.47 (al suscribir el Seguro y $238.47 cada semestre de vigencia).</v>
      </c>
      <c r="D31" s="97"/>
      <c r="N31"/>
    </row>
    <row r="32" spans="1:36" x14ac:dyDescent="0.2">
      <c r="B32" s="114" t="s">
        <v>139</v>
      </c>
      <c r="C32" s="97" t="str">
        <f ca="1">"1 cuota de $"&amp;TEXT(ROUND(J21*(1+6%)/4,2),"###,##0.00")&amp;" (al suscribir el Seguro y $"&amp;TEXT(ROUND(J21*(1+6%)/4,2),"###,##0.00")&amp;" cada trimestre de vigencia)."</f>
        <v>1 cuota de $121.53 (al suscribir el Seguro y $121.53 cada trimestre de vigencia).</v>
      </c>
      <c r="N32"/>
    </row>
    <row r="33" spans="2:14" x14ac:dyDescent="0.2">
      <c r="B33" s="114" t="s">
        <v>140</v>
      </c>
      <c r="C33" s="97" t="str">
        <f ca="1">"1 cuota de $"&amp;TEXT(ROUND(J21*(1+7%)/12,2),"###,##0.00")&amp;" (al suscribir el Seguro y $"&amp;TEXT(ROUND(J21*(1+7%)/12,2),"###,##0.00")&amp;" cada mes de vigencia)."</f>
        <v>1 cuota de $40.89 (al suscribir el Seguro y $40.89 cada mes de vigencia).</v>
      </c>
      <c r="D33" s="97"/>
      <c r="N33"/>
    </row>
    <row r="34" spans="2:14" x14ac:dyDescent="0.2">
      <c r="B34" s="142" t="s">
        <v>162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</row>
    <row r="35" spans="2:14" ht="6.75" customHeight="1" x14ac:dyDescent="0.2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2:14" x14ac:dyDescent="0.2">
      <c r="B36" s="148" t="s">
        <v>113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</row>
    <row r="37" spans="2:14" x14ac:dyDescent="0.2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x14ac:dyDescent="0.2">
      <c r="B38" s="120" t="s">
        <v>160</v>
      </c>
      <c r="C38" s="82"/>
      <c r="D38"/>
      <c r="E38"/>
      <c r="F38"/>
      <c r="G38"/>
      <c r="H38"/>
      <c r="I38"/>
      <c r="J38"/>
      <c r="K38"/>
      <c r="L38"/>
      <c r="M38"/>
      <c r="N38"/>
    </row>
    <row r="39" spans="2:14" x14ac:dyDescent="0.2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14" x14ac:dyDescent="0.2">
      <c r="B40" s="82" t="s">
        <v>114</v>
      </c>
      <c r="C40" s="82"/>
      <c r="D40"/>
      <c r="E40"/>
      <c r="F40"/>
      <c r="G40"/>
      <c r="H40"/>
      <c r="I40"/>
      <c r="J40"/>
      <c r="K40"/>
      <c r="L40"/>
      <c r="M40"/>
      <c r="N40"/>
    </row>
    <row r="41" spans="2:14" x14ac:dyDescent="0.2">
      <c r="B41" s="82" t="s">
        <v>115</v>
      </c>
      <c r="C41" s="82"/>
      <c r="D41"/>
      <c r="E41"/>
      <c r="F41"/>
      <c r="G41"/>
      <c r="H41" s="96"/>
      <c r="I41"/>
      <c r="J41"/>
      <c r="K41"/>
      <c r="L41"/>
      <c r="M41"/>
      <c r="N41"/>
    </row>
    <row r="42" spans="2:14" x14ac:dyDescent="0.2">
      <c r="B42" s="82" t="s">
        <v>116</v>
      </c>
      <c r="C42" s="82"/>
      <c r="D42"/>
      <c r="E42"/>
      <c r="F42"/>
      <c r="G42"/>
      <c r="H42"/>
      <c r="I42"/>
      <c r="J42"/>
      <c r="K42"/>
      <c r="L42"/>
      <c r="M42"/>
      <c r="N42"/>
    </row>
    <row r="43" spans="2:14" x14ac:dyDescent="0.2">
      <c r="B43" s="82" t="s">
        <v>117</v>
      </c>
      <c r="C43" s="82"/>
      <c r="D43"/>
      <c r="E43"/>
      <c r="F43"/>
      <c r="G43"/>
      <c r="H43"/>
      <c r="I43"/>
      <c r="J43"/>
      <c r="K43"/>
      <c r="L43"/>
      <c r="M43"/>
      <c r="N43"/>
    </row>
    <row r="44" spans="2:14" x14ac:dyDescent="0.2"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 customHeight="1" x14ac:dyDescent="0.2">
      <c r="B45" s="82" t="str">
        <f ca="1">"Oferta válida 30 días a partir de la fecha de su emisión: "&amp;TEXT(TODAY(),"[$-x-sysdate]dddd, mmmm dd, yyyy")</f>
        <v>Oferta válida 30 días a partir de la fecha de su emisión: jueves, 21 de julio de 2022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</row>
    <row r="46" spans="2:14" ht="12.75" customHeight="1" x14ac:dyDescent="0.2">
      <c r="B46" s="159" t="s">
        <v>190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</row>
    <row r="47" spans="2:14" x14ac:dyDescent="0.2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</row>
    <row r="48" spans="2:14" x14ac:dyDescent="0.2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x14ac:dyDescent="0.2">
      <c r="B49" s="82" t="s">
        <v>122</v>
      </c>
      <c r="C49" s="82"/>
      <c r="D49"/>
      <c r="E49" s="120" t="s">
        <v>150</v>
      </c>
      <c r="F49"/>
      <c r="G49"/>
      <c r="H49"/>
      <c r="I49"/>
      <c r="J49"/>
      <c r="K49"/>
      <c r="L49"/>
      <c r="M49"/>
      <c r="N49"/>
    </row>
    <row r="50" spans="2:14" x14ac:dyDescent="0.2">
      <c r="B50" s="119" t="s">
        <v>147</v>
      </c>
      <c r="C50" s="86"/>
      <c r="D50"/>
      <c r="E50"/>
      <c r="F50" s="120" t="s">
        <v>149</v>
      </c>
      <c r="G50"/>
      <c r="H50"/>
      <c r="I50"/>
      <c r="J50"/>
      <c r="K50"/>
      <c r="L50"/>
      <c r="M50"/>
      <c r="N50"/>
    </row>
    <row r="51" spans="2:14" x14ac:dyDescent="0.2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x14ac:dyDescent="0.2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x14ac:dyDescent="0.2">
      <c r="B53" s="82" t="s">
        <v>122</v>
      </c>
      <c r="C53" s="82"/>
      <c r="D53"/>
      <c r="E53"/>
      <c r="F53"/>
      <c r="G53"/>
      <c r="H53"/>
      <c r="I53"/>
      <c r="J53"/>
      <c r="K53"/>
      <c r="L53"/>
      <c r="M53"/>
      <c r="N53"/>
    </row>
    <row r="54" spans="2:14" x14ac:dyDescent="0.2">
      <c r="B54" s="119" t="s">
        <v>148</v>
      </c>
      <c r="C54" s="86"/>
      <c r="D54"/>
      <c r="E54"/>
      <c r="F54"/>
      <c r="G54"/>
      <c r="H54"/>
      <c r="I54"/>
      <c r="J54"/>
      <c r="K54"/>
      <c r="L54"/>
      <c r="M54"/>
      <c r="N54"/>
    </row>
    <row r="55" spans="2:14" ht="6.75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x14ac:dyDescent="0.2">
      <c r="B56" s="158" t="str">
        <f>IF(INTERMEDIARIO!C11="","Intermediario: "&amp;INTERMEDIARIO!C12&amp;".","Intermediario, Empresa: "&amp;INTERMEDIARIO!C12&amp;", "&amp;INTERMEDIARIO!C11&amp;".")</f>
        <v>Intermediario, Empresa: Oficina Principal, Atlántida Vida S.A. Seguros de Personas.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04" t="str">
        <f>INTERMEDIARIO!B9</f>
        <v>V.02.2022</v>
      </c>
      <c r="M56" s="104"/>
      <c r="N56" s="104"/>
    </row>
    <row r="57" spans="2:14" x14ac:dyDescent="0.2">
      <c r="B57" s="129" t="str">
        <f>"     Correo electrónico:  "&amp;INTERMEDIARIO!C14</f>
        <v xml:space="preserve">     Correo electrónico:  aseguradoatlantida@seatlan.sv</v>
      </c>
      <c r="C57" s="129"/>
      <c r="D57" s="130"/>
      <c r="E57" s="130"/>
      <c r="F57" s="130"/>
      <c r="G57" s="130"/>
      <c r="H57" s="129" t="str">
        <f>"Teléfono:  "&amp;INTERMEDIARIO!C13</f>
        <v>Teléfono:  2267-4570</v>
      </c>
      <c r="I57" s="130"/>
      <c r="J57" s="130"/>
      <c r="K57" s="130"/>
      <c r="L57" s="129" t="str">
        <f>IF(INTERMEDIARIO!C15=0,"",INTERMEDIARIO!C15)</f>
        <v/>
      </c>
      <c r="M57" s="130"/>
      <c r="N57" s="130"/>
    </row>
    <row r="58" spans="2:14" x14ac:dyDescent="0.2">
      <c r="B58" s="160" t="s">
        <v>161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</row>
    <row r="59" spans="2:14" ht="3" customHeight="1" x14ac:dyDescent="0.2"/>
  </sheetData>
  <sheetProtection algorithmName="SHA-512" hashValue="woNApWnlIvtMg8Gp57Pujze0EHqCS1Ef16EYainlhMVDC9agXxTqw+AhBjb/bja2odNsqkiQZSy/XmgnDB6lxg==" saltValue="vVkhbtyY7omgo9WA4hQe8Q==" spinCount="100000" sheet="1" selectLockedCells="1" selectUnlockedCells="1"/>
  <mergeCells count="34">
    <mergeCell ref="B56:K56"/>
    <mergeCell ref="B46:N46"/>
    <mergeCell ref="J20:M20"/>
    <mergeCell ref="E18:H18"/>
    <mergeCell ref="B58:N58"/>
    <mergeCell ref="E19:H19"/>
    <mergeCell ref="B27:N27"/>
    <mergeCell ref="E7:M7"/>
    <mergeCell ref="J21:M21"/>
    <mergeCell ref="B23:N23"/>
    <mergeCell ref="B26:N26"/>
    <mergeCell ref="J19:M19"/>
    <mergeCell ref="J15:M15"/>
    <mergeCell ref="J16:M16"/>
    <mergeCell ref="J17:M17"/>
    <mergeCell ref="J18:M18"/>
    <mergeCell ref="B24:N24"/>
    <mergeCell ref="B18:D18"/>
    <mergeCell ref="H1:N1"/>
    <mergeCell ref="B29:N29"/>
    <mergeCell ref="B36:N36"/>
    <mergeCell ref="B19:D19"/>
    <mergeCell ref="E20:H20"/>
    <mergeCell ref="E8:M8"/>
    <mergeCell ref="E9:M9"/>
    <mergeCell ref="E10:M10"/>
    <mergeCell ref="E11:M11"/>
    <mergeCell ref="E12:M12"/>
    <mergeCell ref="E13:M13"/>
    <mergeCell ref="E15:H15"/>
    <mergeCell ref="E16:H16"/>
    <mergeCell ref="E17:H17"/>
    <mergeCell ref="E3:N3"/>
    <mergeCell ref="B34:N34"/>
  </mergeCells>
  <pageMargins left="0.25" right="0.25" top="0.75" bottom="0.75" header="0.3" footer="0.3"/>
  <pageSetup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P130"/>
  <sheetViews>
    <sheetView workbookViewId="0">
      <selection activeCell="E24" sqref="E24"/>
    </sheetView>
  </sheetViews>
  <sheetFormatPr defaultColWidth="11.42578125" defaultRowHeight="12.75" x14ac:dyDescent="0.2"/>
  <cols>
    <col min="1" max="4" width="11.42578125" customWidth="1"/>
    <col min="5" max="5" width="10.85546875" customWidth="1"/>
    <col min="6" max="6" width="11.5703125" customWidth="1"/>
    <col min="7" max="7" width="13.140625" customWidth="1"/>
    <col min="8" max="9" width="11.42578125" customWidth="1"/>
    <col min="10" max="10" width="12.7109375" bestFit="1" customWidth="1"/>
    <col min="11" max="11" width="13.7109375" bestFit="1" customWidth="1"/>
    <col min="12" max="12" width="11.42578125" customWidth="1"/>
    <col min="13" max="13" width="11.7109375" bestFit="1" customWidth="1"/>
    <col min="14" max="15" width="11.42578125" customWidth="1"/>
    <col min="16" max="16" width="13.7109375" bestFit="1" customWidth="1"/>
  </cols>
  <sheetData>
    <row r="3" spans="3:13" x14ac:dyDescent="0.2">
      <c r="M3" s="1" t="s">
        <v>18</v>
      </c>
    </row>
    <row r="4" spans="3:13" ht="18" x14ac:dyDescent="0.25">
      <c r="C4" s="161" t="s">
        <v>66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3:13" ht="15.75" x14ac:dyDescent="0.25">
      <c r="C5" s="142" t="s">
        <v>51</v>
      </c>
      <c r="D5" s="142"/>
      <c r="E5" s="142"/>
      <c r="F5" s="142"/>
      <c r="G5" s="142"/>
      <c r="H5" s="142"/>
      <c r="I5" s="142"/>
      <c r="J5" s="142"/>
      <c r="K5" s="142"/>
      <c r="L5" s="142"/>
      <c r="M5" s="37"/>
    </row>
    <row r="6" spans="3:13" x14ac:dyDescent="0.2">
      <c r="D6" s="142" t="s">
        <v>0</v>
      </c>
      <c r="E6" s="142"/>
      <c r="F6" s="142"/>
      <c r="G6" s="142"/>
      <c r="H6" s="142"/>
      <c r="I6" s="142"/>
      <c r="J6" s="142"/>
      <c r="K6" s="142"/>
      <c r="L6" s="36">
        <v>0.03</v>
      </c>
    </row>
    <row r="7" spans="3:13" x14ac:dyDescent="0.2">
      <c r="D7" s="2"/>
      <c r="E7" s="2"/>
      <c r="F7" s="33">
        <v>0.25</v>
      </c>
      <c r="G7" s="33">
        <v>0.6</v>
      </c>
      <c r="H7" s="2"/>
      <c r="I7" s="2"/>
      <c r="J7" s="2"/>
      <c r="K7" s="2"/>
      <c r="L7" s="3"/>
    </row>
    <row r="8" spans="3:13" ht="13.5" thickBot="1" x14ac:dyDescent="0.25">
      <c r="C8">
        <v>1</v>
      </c>
      <c r="D8">
        <f>+C8+1</f>
        <v>2</v>
      </c>
      <c r="F8">
        <v>3</v>
      </c>
      <c r="G8">
        <v>4</v>
      </c>
      <c r="H8">
        <v>5</v>
      </c>
      <c r="I8">
        <f>+H8+1</f>
        <v>6</v>
      </c>
      <c r="J8">
        <f>+I8+1</f>
        <v>7</v>
      </c>
      <c r="K8">
        <f>+J8+1</f>
        <v>8</v>
      </c>
      <c r="L8">
        <f>+K8+1</f>
        <v>9</v>
      </c>
      <c r="M8">
        <f>+L8+1</f>
        <v>10</v>
      </c>
    </row>
    <row r="9" spans="3:13" ht="13.5" thickBot="1" x14ac:dyDescent="0.25">
      <c r="C9" s="4" t="s">
        <v>1</v>
      </c>
      <c r="D9" s="5" t="s">
        <v>2</v>
      </c>
      <c r="E9" s="5" t="s">
        <v>10</v>
      </c>
      <c r="F9" s="5" t="s">
        <v>49</v>
      </c>
      <c r="G9" s="5" t="s">
        <v>50</v>
      </c>
      <c r="H9" s="5" t="s">
        <v>11</v>
      </c>
      <c r="I9" s="5" t="s">
        <v>12</v>
      </c>
      <c r="J9" s="5" t="s">
        <v>13</v>
      </c>
      <c r="K9" s="5" t="s">
        <v>24</v>
      </c>
      <c r="L9" s="5" t="s">
        <v>14</v>
      </c>
      <c r="M9" s="6" t="s">
        <v>3</v>
      </c>
    </row>
    <row r="10" spans="3:13" x14ac:dyDescent="0.2">
      <c r="C10" s="7">
        <v>0</v>
      </c>
      <c r="D10" s="8">
        <v>10000000</v>
      </c>
      <c r="E10" s="9">
        <v>9.6999999999999994E-4</v>
      </c>
      <c r="F10" s="9">
        <f>E10</f>
        <v>9.6999999999999994E-4</v>
      </c>
      <c r="G10" s="8">
        <f>+E10*$G$7</f>
        <v>5.8199999999999994E-4</v>
      </c>
      <c r="H10" s="9">
        <f>+E10+G10</f>
        <v>1.552E-3</v>
      </c>
      <c r="I10" s="10">
        <f t="shared" ref="I10:I73" si="0">+D10*H10</f>
        <v>15520</v>
      </c>
      <c r="J10" s="11">
        <f t="shared" ref="J10:J73" si="1">+D10*(1/(1+$L$6))^C10</f>
        <v>10000000</v>
      </c>
      <c r="K10" s="11">
        <f>SUM(J10:$J$130)</f>
        <v>296110357.27274394</v>
      </c>
      <c r="L10" s="11">
        <f t="shared" ref="L10:L73" si="2">+I10*(1/(1.03))^C11</f>
        <v>15067.961165048544</v>
      </c>
      <c r="M10" s="12">
        <f>SUM(L10:$L$130)</f>
        <v>1375430.5529998804</v>
      </c>
    </row>
    <row r="11" spans="3:13" x14ac:dyDescent="0.2">
      <c r="C11" s="13">
        <f>+C10+1</f>
        <v>1</v>
      </c>
      <c r="D11" s="14">
        <f t="shared" ref="D11:D74" si="3">+D10-(D10*H10)</f>
        <v>9984480</v>
      </c>
      <c r="E11" s="15">
        <v>5.6000000000000006E-4</v>
      </c>
      <c r="F11" s="15">
        <f t="shared" ref="F11:F74" si="4">E11</f>
        <v>5.6000000000000006E-4</v>
      </c>
      <c r="G11" s="32">
        <f t="shared" ref="G11:G74" si="5">+E11*$G$7</f>
        <v>3.3600000000000004E-4</v>
      </c>
      <c r="H11" s="15">
        <f t="shared" ref="H11:H74" si="6">+E11+G11</f>
        <v>8.9600000000000009E-4</v>
      </c>
      <c r="I11" s="14">
        <f t="shared" si="0"/>
        <v>8946.0940800000008</v>
      </c>
      <c r="J11" s="16">
        <f t="shared" si="1"/>
        <v>9693669.9029126223</v>
      </c>
      <c r="K11" s="16">
        <f>SUM(J11:$J$130)</f>
        <v>286110357.27274394</v>
      </c>
      <c r="L11" s="16">
        <f t="shared" si="2"/>
        <v>8432.5516825336981</v>
      </c>
      <c r="M11" s="17">
        <f>SUM(L11:$L$130)</f>
        <v>1360362.5918348322</v>
      </c>
    </row>
    <row r="12" spans="3:13" x14ac:dyDescent="0.2">
      <c r="C12" s="13">
        <f t="shared" ref="C12:C75" si="7">+C11+1</f>
        <v>2</v>
      </c>
      <c r="D12" s="14">
        <f t="shared" si="3"/>
        <v>9975533.9059200007</v>
      </c>
      <c r="E12" s="15">
        <v>3.8999999999999999E-4</v>
      </c>
      <c r="F12" s="15">
        <f t="shared" si="4"/>
        <v>3.8999999999999999E-4</v>
      </c>
      <c r="G12" s="32">
        <f t="shared" si="5"/>
        <v>2.34E-4</v>
      </c>
      <c r="H12" s="15">
        <f t="shared" si="6"/>
        <v>6.2399999999999999E-4</v>
      </c>
      <c r="I12" s="14">
        <f t="shared" si="0"/>
        <v>6224.7331572940802</v>
      </c>
      <c r="J12" s="16">
        <f t="shared" si="1"/>
        <v>9402897.4511452541</v>
      </c>
      <c r="K12" s="16">
        <f>SUM(J12:$J$130)</f>
        <v>276416687.36983138</v>
      </c>
      <c r="L12" s="16">
        <f t="shared" si="2"/>
        <v>5696.5126305967369</v>
      </c>
      <c r="M12" s="17">
        <f>SUM(L12:$L$130)</f>
        <v>1351930.0401522985</v>
      </c>
    </row>
    <row r="13" spans="3:13" x14ac:dyDescent="0.2">
      <c r="C13" s="13">
        <f t="shared" si="7"/>
        <v>3</v>
      </c>
      <c r="D13" s="14">
        <f t="shared" si="3"/>
        <v>9969309.1727627069</v>
      </c>
      <c r="E13" s="15">
        <v>2.7E-4</v>
      </c>
      <c r="F13" s="15">
        <f t="shared" si="4"/>
        <v>2.7E-4</v>
      </c>
      <c r="G13" s="32">
        <f t="shared" si="5"/>
        <v>1.6200000000000001E-4</v>
      </c>
      <c r="H13" s="15">
        <f t="shared" si="6"/>
        <v>4.3199999999999998E-4</v>
      </c>
      <c r="I13" s="14">
        <f t="shared" si="0"/>
        <v>4306.7415626334896</v>
      </c>
      <c r="J13" s="16">
        <f t="shared" si="1"/>
        <v>9123330.1389667392</v>
      </c>
      <c r="K13" s="16">
        <f>SUM(J13:$J$130)</f>
        <v>267013789.91868603</v>
      </c>
      <c r="L13" s="16">
        <f t="shared" si="2"/>
        <v>3826.4840971200301</v>
      </c>
      <c r="M13" s="17">
        <f>SUM(L13:$L$130)</f>
        <v>1346233.5275217018</v>
      </c>
    </row>
    <row r="14" spans="3:13" x14ac:dyDescent="0.2">
      <c r="C14" s="13">
        <f t="shared" si="7"/>
        <v>4</v>
      </c>
      <c r="D14" s="14">
        <f t="shared" si="3"/>
        <v>9965002.431200074</v>
      </c>
      <c r="E14" s="15">
        <v>2.0999999999999998E-4</v>
      </c>
      <c r="F14" s="15">
        <f t="shared" si="4"/>
        <v>2.0999999999999998E-4</v>
      </c>
      <c r="G14" s="32">
        <f t="shared" si="5"/>
        <v>1.2599999999999997E-4</v>
      </c>
      <c r="H14" s="15">
        <f t="shared" si="6"/>
        <v>3.3599999999999993E-4</v>
      </c>
      <c r="I14" s="14">
        <f t="shared" si="0"/>
        <v>3348.2408168832239</v>
      </c>
      <c r="J14" s="16">
        <f t="shared" si="1"/>
        <v>8853775.5925696157</v>
      </c>
      <c r="K14" s="16">
        <f>SUM(J14:$J$130)</f>
        <v>257890459.77971932</v>
      </c>
      <c r="L14" s="16">
        <f t="shared" si="2"/>
        <v>2888.2219408770779</v>
      </c>
      <c r="M14" s="17">
        <f>SUM(L14:$L$130)</f>
        <v>1342407.0434245816</v>
      </c>
    </row>
    <row r="15" spans="3:13" x14ac:dyDescent="0.2">
      <c r="C15" s="13">
        <f t="shared" si="7"/>
        <v>5</v>
      </c>
      <c r="D15" s="14">
        <f t="shared" si="3"/>
        <v>9961654.1903831903</v>
      </c>
      <c r="E15" s="15">
        <v>2.0999999999999998E-4</v>
      </c>
      <c r="F15" s="15">
        <f t="shared" si="4"/>
        <v>2.0999999999999998E-4</v>
      </c>
      <c r="G15" s="32">
        <f t="shared" si="5"/>
        <v>1.2599999999999997E-4</v>
      </c>
      <c r="H15" s="15">
        <f t="shared" si="6"/>
        <v>3.3599999999999993E-4</v>
      </c>
      <c r="I15" s="14">
        <f t="shared" si="0"/>
        <v>3347.1158079687511</v>
      </c>
      <c r="J15" s="16">
        <f t="shared" si="1"/>
        <v>8593010.4116218574</v>
      </c>
      <c r="K15" s="16">
        <f>SUM(J15:$J$130)</f>
        <v>249036684.18714964</v>
      </c>
      <c r="L15" s="16">
        <f t="shared" si="2"/>
        <v>2803.1567944708186</v>
      </c>
      <c r="M15" s="17">
        <f>SUM(L15:$L$130)</f>
        <v>1339518.8214837045</v>
      </c>
    </row>
    <row r="16" spans="3:13" x14ac:dyDescent="0.2">
      <c r="C16" s="13">
        <f t="shared" si="7"/>
        <v>6</v>
      </c>
      <c r="D16" s="14">
        <f t="shared" si="3"/>
        <v>9958307.0745752212</v>
      </c>
      <c r="E16" s="15">
        <v>2.2000000000000001E-4</v>
      </c>
      <c r="F16" s="15">
        <f t="shared" si="4"/>
        <v>2.2000000000000001E-4</v>
      </c>
      <c r="G16" s="32">
        <f t="shared" si="5"/>
        <v>1.3200000000000001E-4</v>
      </c>
      <c r="H16" s="15">
        <f t="shared" si="6"/>
        <v>3.5199999999999999E-4</v>
      </c>
      <c r="I16" s="14">
        <f t="shared" si="0"/>
        <v>3505.3240902504776</v>
      </c>
      <c r="J16" s="16">
        <f t="shared" si="1"/>
        <v>8339925.3981782058</v>
      </c>
      <c r="K16" s="16">
        <f>SUM(J16:$J$130)</f>
        <v>240443673.77552778</v>
      </c>
      <c r="L16" s="16">
        <f t="shared" si="2"/>
        <v>2850.1492622900273</v>
      </c>
      <c r="M16" s="17">
        <f>SUM(L16:$L$130)</f>
        <v>1336715.6646892338</v>
      </c>
    </row>
    <row r="17" spans="1:16" x14ac:dyDescent="0.2">
      <c r="C17" s="13">
        <f t="shared" si="7"/>
        <v>7</v>
      </c>
      <c r="D17" s="14">
        <f t="shared" si="3"/>
        <v>9954801.7504849713</v>
      </c>
      <c r="E17" s="15">
        <v>2.2000000000000001E-4</v>
      </c>
      <c r="F17" s="15">
        <f t="shared" si="4"/>
        <v>2.2000000000000001E-4</v>
      </c>
      <c r="G17" s="32">
        <f t="shared" si="5"/>
        <v>1.3200000000000001E-4</v>
      </c>
      <c r="H17" s="15">
        <f t="shared" si="6"/>
        <v>3.5199999999999999E-4</v>
      </c>
      <c r="I17" s="14">
        <f t="shared" si="0"/>
        <v>3504.0902161707099</v>
      </c>
      <c r="J17" s="16">
        <f t="shared" si="1"/>
        <v>8094164.8004252892</v>
      </c>
      <c r="K17" s="16">
        <f>SUM(J17:$J$130)</f>
        <v>232103748.37734956</v>
      </c>
      <c r="L17" s="16">
        <f t="shared" si="2"/>
        <v>2766.1611745142732</v>
      </c>
      <c r="M17" s="17">
        <f>SUM(L17:$L$130)</f>
        <v>1333865.5154269435</v>
      </c>
    </row>
    <row r="18" spans="1:16" x14ac:dyDescent="0.2">
      <c r="C18" s="13">
        <f t="shared" si="7"/>
        <v>8</v>
      </c>
      <c r="D18" s="14">
        <f t="shared" si="3"/>
        <v>9951297.6602688003</v>
      </c>
      <c r="E18" s="15">
        <v>2.2000000000000001E-4</v>
      </c>
      <c r="F18" s="15">
        <f t="shared" si="4"/>
        <v>2.2000000000000001E-4</v>
      </c>
      <c r="G18" s="32">
        <f t="shared" si="5"/>
        <v>1.3200000000000001E-4</v>
      </c>
      <c r="H18" s="15">
        <f t="shared" si="6"/>
        <v>3.5199999999999999E-4</v>
      </c>
      <c r="I18" s="14">
        <f t="shared" si="0"/>
        <v>3502.8567764146178</v>
      </c>
      <c r="J18" s="16">
        <f t="shared" si="1"/>
        <v>7855646.2664228529</v>
      </c>
      <c r="K18" s="16">
        <f>SUM(J18:$J$130)</f>
        <v>224009583.57692426</v>
      </c>
      <c r="L18" s="16">
        <f t="shared" si="2"/>
        <v>2684.6480444474219</v>
      </c>
      <c r="M18" s="17">
        <f>SUM(L18:$L$130)</f>
        <v>1331099.3542524294</v>
      </c>
    </row>
    <row r="19" spans="1:16" x14ac:dyDescent="0.2">
      <c r="C19" s="13">
        <f t="shared" si="7"/>
        <v>9</v>
      </c>
      <c r="D19" s="14">
        <f t="shared" si="3"/>
        <v>9947794.8034923859</v>
      </c>
      <c r="E19" s="15">
        <v>2.3000000000000001E-4</v>
      </c>
      <c r="F19" s="15">
        <f t="shared" si="4"/>
        <v>2.3000000000000001E-4</v>
      </c>
      <c r="G19" s="32">
        <f t="shared" si="5"/>
        <v>1.3799999999999999E-4</v>
      </c>
      <c r="H19" s="15">
        <f t="shared" si="6"/>
        <v>3.68E-4</v>
      </c>
      <c r="I19" s="14">
        <f t="shared" si="0"/>
        <v>3660.7884876851981</v>
      </c>
      <c r="J19" s="16">
        <f t="shared" si="1"/>
        <v>7624156.3873175457</v>
      </c>
      <c r="K19" s="16">
        <f>SUM(J19:$J$130)</f>
        <v>216153937.31050143</v>
      </c>
      <c r="L19" s="16">
        <f t="shared" si="2"/>
        <v>2723.9704374105404</v>
      </c>
      <c r="M19" s="17">
        <f>SUM(L19:$L$130)</f>
        <v>1328414.7062079818</v>
      </c>
    </row>
    <row r="20" spans="1:16" x14ac:dyDescent="0.2">
      <c r="C20" s="13">
        <f t="shared" si="7"/>
        <v>10</v>
      </c>
      <c r="D20" s="14">
        <f t="shared" si="3"/>
        <v>9944134.0150047</v>
      </c>
      <c r="E20" s="15">
        <v>2.3000000000000001E-4</v>
      </c>
      <c r="F20" s="15">
        <f t="shared" si="4"/>
        <v>2.3000000000000001E-4</v>
      </c>
      <c r="G20" s="32">
        <f t="shared" si="5"/>
        <v>1.3799999999999999E-4</v>
      </c>
      <c r="H20" s="15">
        <f t="shared" si="6"/>
        <v>3.68E-4</v>
      </c>
      <c r="I20" s="14">
        <f t="shared" si="0"/>
        <v>3659.4413175217296</v>
      </c>
      <c r="J20" s="16">
        <f t="shared" si="1"/>
        <v>7399369.6094825361</v>
      </c>
      <c r="K20" s="16">
        <f>SUM(J20:$J$130)</f>
        <v>208529780.92318389</v>
      </c>
      <c r="L20" s="16">
        <f t="shared" si="2"/>
        <v>2643.6582682423041</v>
      </c>
      <c r="M20" s="17">
        <f>SUM(L20:$L$130)</f>
        <v>1325690.7357705713</v>
      </c>
    </row>
    <row r="21" spans="1:16" x14ac:dyDescent="0.2">
      <c r="C21" s="13">
        <f t="shared" si="7"/>
        <v>11</v>
      </c>
      <c r="D21" s="14">
        <f t="shared" si="3"/>
        <v>9940474.573687179</v>
      </c>
      <c r="E21" s="15">
        <v>2.7E-4</v>
      </c>
      <c r="F21" s="15">
        <f t="shared" si="4"/>
        <v>2.7E-4</v>
      </c>
      <c r="G21" s="32">
        <f t="shared" si="5"/>
        <v>1.6200000000000001E-4</v>
      </c>
      <c r="H21" s="15">
        <f t="shared" si="6"/>
        <v>4.3199999999999998E-4</v>
      </c>
      <c r="I21" s="14">
        <f t="shared" si="0"/>
        <v>4294.2850158328611</v>
      </c>
      <c r="J21" s="16">
        <f t="shared" si="1"/>
        <v>7181210.3315206282</v>
      </c>
      <c r="K21" s="16">
        <f>SUM(J21:$J$130)</f>
        <v>201130411.3137013</v>
      </c>
      <c r="L21" s="16">
        <f t="shared" si="2"/>
        <v>3011.9251099193316</v>
      </c>
      <c r="M21" s="17">
        <f>SUM(L21:$L$130)</f>
        <v>1323047.0775023291</v>
      </c>
    </row>
    <row r="22" spans="1:16" x14ac:dyDescent="0.2">
      <c r="C22" s="13">
        <f t="shared" si="7"/>
        <v>12</v>
      </c>
      <c r="D22" s="14">
        <f t="shared" si="3"/>
        <v>9936180.2886713464</v>
      </c>
      <c r="E22" s="15">
        <v>3.3E-4</v>
      </c>
      <c r="F22" s="15">
        <f t="shared" si="4"/>
        <v>3.3E-4</v>
      </c>
      <c r="G22" s="32">
        <f t="shared" si="5"/>
        <v>1.9799999999999999E-4</v>
      </c>
      <c r="H22" s="15">
        <f t="shared" si="6"/>
        <v>5.2800000000000004E-4</v>
      </c>
      <c r="I22" s="14">
        <f t="shared" si="0"/>
        <v>5246.3031924184716</v>
      </c>
      <c r="J22" s="16">
        <f t="shared" si="1"/>
        <v>6969036.9404440895</v>
      </c>
      <c r="K22" s="16">
        <f>SUM(J22:$J$130)</f>
        <v>193949200.98218068</v>
      </c>
      <c r="L22" s="16">
        <f t="shared" si="2"/>
        <v>3572.477188887844</v>
      </c>
      <c r="M22" s="17">
        <f>SUM(L22:$L$130)</f>
        <v>1320035.1523924097</v>
      </c>
    </row>
    <row r="23" spans="1:16" x14ac:dyDescent="0.2">
      <c r="C23" s="13">
        <f t="shared" si="7"/>
        <v>13</v>
      </c>
      <c r="D23" s="14">
        <f t="shared" si="3"/>
        <v>9930933.9854789283</v>
      </c>
      <c r="E23" s="15">
        <v>3.8999999999999999E-4</v>
      </c>
      <c r="F23" s="15">
        <f t="shared" si="4"/>
        <v>3.8999999999999999E-4</v>
      </c>
      <c r="G23" s="32">
        <f t="shared" si="5"/>
        <v>2.34E-4</v>
      </c>
      <c r="H23" s="15">
        <f t="shared" si="6"/>
        <v>6.2399999999999999E-4</v>
      </c>
      <c r="I23" s="14">
        <f t="shared" si="0"/>
        <v>6196.9028069388514</v>
      </c>
      <c r="J23" s="16">
        <f t="shared" si="1"/>
        <v>6762482.8047956647</v>
      </c>
      <c r="K23" s="16">
        <f>SUM(J23:$J$130)</f>
        <v>186980164.04173657</v>
      </c>
      <c r="L23" s="16">
        <f t="shared" si="2"/>
        <v>4096.882786594655</v>
      </c>
      <c r="M23" s="17">
        <f>SUM(L23:$L$130)</f>
        <v>1316462.675203522</v>
      </c>
    </row>
    <row r="24" spans="1:16" x14ac:dyDescent="0.2">
      <c r="C24" s="13">
        <f t="shared" si="7"/>
        <v>14</v>
      </c>
      <c r="D24" s="14">
        <f t="shared" si="3"/>
        <v>9924737.0826719888</v>
      </c>
      <c r="E24" s="15">
        <v>4.6999999999999999E-4</v>
      </c>
      <c r="F24" s="15">
        <f t="shared" si="4"/>
        <v>4.6999999999999999E-4</v>
      </c>
      <c r="G24" s="32">
        <f t="shared" si="5"/>
        <v>2.8199999999999997E-4</v>
      </c>
      <c r="H24" s="15">
        <f t="shared" si="6"/>
        <v>7.5199999999999996E-4</v>
      </c>
      <c r="I24" s="14">
        <f t="shared" si="0"/>
        <v>7463.4022861693347</v>
      </c>
      <c r="J24" s="16">
        <f t="shared" si="1"/>
        <v>6561420.4034227887</v>
      </c>
      <c r="K24" s="16">
        <f>SUM(J24:$J$130)</f>
        <v>180217681.23694095</v>
      </c>
      <c r="L24" s="16">
        <f t="shared" si="2"/>
        <v>4790.4739256057637</v>
      </c>
      <c r="M24" s="17">
        <f>SUM(L24:$L$130)</f>
        <v>1312365.7924169274</v>
      </c>
    </row>
    <row r="25" spans="1:16" x14ac:dyDescent="0.2">
      <c r="A25" s="63"/>
      <c r="C25" s="13">
        <f t="shared" si="7"/>
        <v>15</v>
      </c>
      <c r="D25" s="14">
        <f t="shared" si="3"/>
        <v>9917273.6803858187</v>
      </c>
      <c r="E25" s="15">
        <v>6.0999999999999997E-4</v>
      </c>
      <c r="F25" s="15">
        <f t="shared" si="4"/>
        <v>6.0999999999999997E-4</v>
      </c>
      <c r="G25" s="32">
        <f t="shared" si="5"/>
        <v>3.6599999999999995E-4</v>
      </c>
      <c r="H25" s="15">
        <f t="shared" si="6"/>
        <v>9.7599999999999987E-4</v>
      </c>
      <c r="I25" s="14">
        <f t="shared" si="0"/>
        <v>9679.2591120565576</v>
      </c>
      <c r="J25" s="16">
        <f t="shared" si="1"/>
        <v>6365520.5973586552</v>
      </c>
      <c r="K25" s="16">
        <f>SUM(J25:$J$130)</f>
        <v>173656260.83351818</v>
      </c>
      <c r="L25" s="16">
        <f t="shared" si="2"/>
        <v>6031.7942747786847</v>
      </c>
      <c r="M25" s="17">
        <f>SUM(L25:$L$130)</f>
        <v>1307575.3184913215</v>
      </c>
      <c r="O25" t="s">
        <v>53</v>
      </c>
      <c r="P25" s="23">
        <f>M35</f>
        <v>1228703.3363797122</v>
      </c>
    </row>
    <row r="26" spans="1:16" x14ac:dyDescent="0.2">
      <c r="C26" s="13">
        <f t="shared" si="7"/>
        <v>16</v>
      </c>
      <c r="D26" s="14">
        <f t="shared" si="3"/>
        <v>9907594.4212737624</v>
      </c>
      <c r="E26" s="15">
        <v>7.3999999999999999E-4</v>
      </c>
      <c r="F26" s="15">
        <f t="shared" si="4"/>
        <v>7.3999999999999999E-4</v>
      </c>
      <c r="G26" s="32">
        <f t="shared" si="5"/>
        <v>4.4399999999999995E-4</v>
      </c>
      <c r="H26" s="15">
        <f t="shared" si="6"/>
        <v>1.1839999999999999E-3</v>
      </c>
      <c r="I26" s="14">
        <f t="shared" si="0"/>
        <v>11730.591794788133</v>
      </c>
      <c r="J26" s="16">
        <f t="shared" si="1"/>
        <v>6174085.2905394481</v>
      </c>
      <c r="K26" s="16">
        <f>SUM(J26:$J$130)</f>
        <v>167290740.23615953</v>
      </c>
      <c r="L26" s="16">
        <f t="shared" si="2"/>
        <v>7097.2009553385496</v>
      </c>
      <c r="M26" s="17">
        <f>SUM(L26:$L$130)</f>
        <v>1301543.524216543</v>
      </c>
      <c r="O26" t="s">
        <v>54</v>
      </c>
      <c r="P26" s="23">
        <f>M37</f>
        <v>1213076.5226169818</v>
      </c>
    </row>
    <row r="27" spans="1:16" x14ac:dyDescent="0.2">
      <c r="C27" s="13">
        <f t="shared" si="7"/>
        <v>17</v>
      </c>
      <c r="D27" s="14">
        <f t="shared" si="3"/>
        <v>9895863.8294789735</v>
      </c>
      <c r="E27" s="15">
        <v>8.7000000000000001E-4</v>
      </c>
      <c r="F27" s="15">
        <f t="shared" si="4"/>
        <v>8.7000000000000001E-4</v>
      </c>
      <c r="G27" s="32">
        <f t="shared" si="5"/>
        <v>5.22E-4</v>
      </c>
      <c r="H27" s="15">
        <f t="shared" si="6"/>
        <v>1.392E-3</v>
      </c>
      <c r="I27" s="14">
        <f t="shared" si="0"/>
        <v>13775.042450634732</v>
      </c>
      <c r="J27" s="16">
        <f t="shared" si="1"/>
        <v>5987160.3626751937</v>
      </c>
      <c r="K27" s="16">
        <f>SUM(J27:$J$130)</f>
        <v>161116654.94562012</v>
      </c>
      <c r="L27" s="16">
        <f t="shared" si="2"/>
        <v>8091.3856551882227</v>
      </c>
      <c r="M27" s="17">
        <f>SUM(L27:$L$130)</f>
        <v>1294446.3232612044</v>
      </c>
      <c r="O27" t="s">
        <v>56</v>
      </c>
      <c r="P27" s="23">
        <f>M55</f>
        <v>1081012.9266630427</v>
      </c>
    </row>
    <row r="28" spans="1:16" x14ac:dyDescent="0.2">
      <c r="A28" s="63"/>
      <c r="C28" s="13">
        <f t="shared" si="7"/>
        <v>18</v>
      </c>
      <c r="D28" s="14">
        <f t="shared" si="3"/>
        <v>9882088.7870283388</v>
      </c>
      <c r="E28" s="15">
        <v>9.3999999999999997E-4</v>
      </c>
      <c r="F28" s="15">
        <f t="shared" si="4"/>
        <v>9.3999999999999997E-4</v>
      </c>
      <c r="G28" s="32">
        <f t="shared" si="5"/>
        <v>5.6399999999999994E-4</v>
      </c>
      <c r="H28" s="15">
        <f t="shared" si="6"/>
        <v>1.5039999999999999E-3</v>
      </c>
      <c r="I28" s="14">
        <f t="shared" si="0"/>
        <v>14862.66153569062</v>
      </c>
      <c r="J28" s="16">
        <f t="shared" si="1"/>
        <v>5804685.665485776</v>
      </c>
      <c r="K28" s="16">
        <f>SUM(J28:$J$130)</f>
        <v>155129494.58294493</v>
      </c>
      <c r="L28" s="16">
        <f t="shared" si="2"/>
        <v>8475.9681950394242</v>
      </c>
      <c r="M28" s="17">
        <f>SUM(L28:$L$130)</f>
        <v>1286354.9376060162</v>
      </c>
      <c r="P28" s="23"/>
    </row>
    <row r="29" spans="1:16" x14ac:dyDescent="0.2">
      <c r="C29" s="13">
        <f t="shared" si="7"/>
        <v>19</v>
      </c>
      <c r="D29" s="14">
        <f t="shared" si="3"/>
        <v>9867226.1254926473</v>
      </c>
      <c r="E29" s="15">
        <v>9.7999999999999997E-4</v>
      </c>
      <c r="F29" s="15">
        <f t="shared" si="4"/>
        <v>9.7999999999999997E-4</v>
      </c>
      <c r="G29" s="32">
        <f t="shared" si="5"/>
        <v>5.8799999999999998E-4</v>
      </c>
      <c r="H29" s="15">
        <f t="shared" si="6"/>
        <v>1.5679999999999999E-3</v>
      </c>
      <c r="I29" s="14">
        <f t="shared" si="0"/>
        <v>15471.81056477247</v>
      </c>
      <c r="J29" s="16">
        <f t="shared" si="1"/>
        <v>5627141.182762024</v>
      </c>
      <c r="K29" s="16">
        <f>SUM(J29:$J$130)</f>
        <v>149324808.91745916</v>
      </c>
      <c r="L29" s="16">
        <f t="shared" si="2"/>
        <v>8566.366383078499</v>
      </c>
      <c r="M29" s="17">
        <f>SUM(L29:$L$130)</f>
        <v>1277878.9694109766</v>
      </c>
      <c r="O29" t="s">
        <v>57</v>
      </c>
      <c r="P29" s="23">
        <f>K35</f>
        <v>118047740.38906682</v>
      </c>
    </row>
    <row r="30" spans="1:16" x14ac:dyDescent="0.2">
      <c r="C30" s="13">
        <f t="shared" si="7"/>
        <v>20</v>
      </c>
      <c r="D30" s="14">
        <f t="shared" si="3"/>
        <v>9851754.3149278741</v>
      </c>
      <c r="E30" s="15">
        <v>1E-3</v>
      </c>
      <c r="F30" s="15">
        <f t="shared" si="4"/>
        <v>1E-3</v>
      </c>
      <c r="G30" s="32">
        <f t="shared" si="5"/>
        <v>5.9999999999999995E-4</v>
      </c>
      <c r="H30" s="15">
        <f t="shared" si="6"/>
        <v>1.5999999999999999E-3</v>
      </c>
      <c r="I30" s="14">
        <f t="shared" si="0"/>
        <v>15762.806903884597</v>
      </c>
      <c r="J30" s="16">
        <f t="shared" si="1"/>
        <v>5454677.5003761686</v>
      </c>
      <c r="K30" s="16">
        <f>SUM(J30:$J$130)</f>
        <v>143697667.7346971</v>
      </c>
      <c r="L30" s="16">
        <f t="shared" si="2"/>
        <v>8473.2854374775416</v>
      </c>
      <c r="M30" s="17">
        <f>SUM(L30:$L$130)</f>
        <v>1269312.6030278984</v>
      </c>
      <c r="O30" t="s">
        <v>58</v>
      </c>
      <c r="P30" s="23">
        <f>K37</f>
        <v>108857463.14949588</v>
      </c>
    </row>
    <row r="31" spans="1:16" x14ac:dyDescent="0.2">
      <c r="C31" s="13">
        <f t="shared" si="7"/>
        <v>21</v>
      </c>
      <c r="D31" s="14">
        <f t="shared" si="3"/>
        <v>9835991.5080239903</v>
      </c>
      <c r="E31" s="15">
        <v>1E-3</v>
      </c>
      <c r="F31" s="15">
        <f t="shared" si="4"/>
        <v>1E-3</v>
      </c>
      <c r="G31" s="32">
        <f t="shared" si="5"/>
        <v>5.9999999999999995E-4</v>
      </c>
      <c r="H31" s="15">
        <f t="shared" si="6"/>
        <v>1.5999999999999999E-3</v>
      </c>
      <c r="I31" s="14">
        <f t="shared" si="0"/>
        <v>15737.586412838384</v>
      </c>
      <c r="J31" s="16">
        <f t="shared" si="1"/>
        <v>5287330.1129859872</v>
      </c>
      <c r="K31" s="16">
        <f>SUM(J31:$J$130)</f>
        <v>138242990.23432097</v>
      </c>
      <c r="L31" s="16">
        <f t="shared" si="2"/>
        <v>8213.3283308520186</v>
      </c>
      <c r="M31" s="17">
        <f>SUM(L31:$L$130)</f>
        <v>1260839.3175904208</v>
      </c>
      <c r="O31" t="s">
        <v>55</v>
      </c>
      <c r="P31" s="23">
        <f>K55</f>
        <v>47689387.893999361</v>
      </c>
    </row>
    <row r="32" spans="1:16" x14ac:dyDescent="0.2">
      <c r="C32" s="13">
        <f t="shared" si="7"/>
        <v>22</v>
      </c>
      <c r="D32" s="14">
        <f t="shared" si="3"/>
        <v>9820253.9216111526</v>
      </c>
      <c r="E32" s="15">
        <v>1.0200000000000001E-3</v>
      </c>
      <c r="F32" s="15">
        <f t="shared" si="4"/>
        <v>1.0200000000000001E-3</v>
      </c>
      <c r="G32" s="32">
        <f t="shared" si="5"/>
        <v>6.1200000000000002E-4</v>
      </c>
      <c r="H32" s="15">
        <f t="shared" si="6"/>
        <v>1.6320000000000002E-3</v>
      </c>
      <c r="I32" s="14">
        <f t="shared" si="0"/>
        <v>16026.654400069403</v>
      </c>
      <c r="J32" s="16">
        <f t="shared" si="1"/>
        <v>5125116.8784516603</v>
      </c>
      <c r="K32" s="16">
        <f>SUM(J32:$J$130)</f>
        <v>132955660.12133496</v>
      </c>
      <c r="L32" s="16">
        <f t="shared" si="2"/>
        <v>8120.5735394496214</v>
      </c>
      <c r="M32" s="17">
        <f>SUM(L32:$L$130)</f>
        <v>1252625.9892595687</v>
      </c>
    </row>
    <row r="33" spans="1:16" x14ac:dyDescent="0.2">
      <c r="C33" s="13">
        <f t="shared" si="7"/>
        <v>23</v>
      </c>
      <c r="D33" s="14">
        <f t="shared" si="3"/>
        <v>9804227.2672110833</v>
      </c>
      <c r="E33" s="15">
        <v>1.0300000000000001E-3</v>
      </c>
      <c r="F33" s="15">
        <f t="shared" si="4"/>
        <v>1.0300000000000001E-3</v>
      </c>
      <c r="G33" s="32">
        <f t="shared" si="5"/>
        <v>6.1800000000000006E-4</v>
      </c>
      <c r="H33" s="15">
        <f t="shared" si="6"/>
        <v>1.6480000000000002E-3</v>
      </c>
      <c r="I33" s="14">
        <f t="shared" si="0"/>
        <v>16157.366536363867</v>
      </c>
      <c r="J33" s="16">
        <f t="shared" si="1"/>
        <v>4967721.0560252685</v>
      </c>
      <c r="K33" s="16">
        <f>SUM(J33:$J$130)</f>
        <v>127830543.24288329</v>
      </c>
      <c r="L33" s="16">
        <f t="shared" si="2"/>
        <v>7948.3536896404303</v>
      </c>
      <c r="M33" s="17">
        <f>SUM(L33:$L$130)</f>
        <v>1244505.4157201191</v>
      </c>
      <c r="O33" t="s">
        <v>60</v>
      </c>
      <c r="P33" s="23">
        <f>J35</f>
        <v>4666982.971233896</v>
      </c>
    </row>
    <row r="34" spans="1:16" x14ac:dyDescent="0.2">
      <c r="C34" s="13">
        <f t="shared" si="7"/>
        <v>24</v>
      </c>
      <c r="D34" s="14">
        <f t="shared" si="3"/>
        <v>9788069.9006747194</v>
      </c>
      <c r="E34" s="15">
        <v>1.0500000000000002E-3</v>
      </c>
      <c r="F34" s="15">
        <f t="shared" si="4"/>
        <v>1.0500000000000002E-3</v>
      </c>
      <c r="G34" s="32">
        <f t="shared" si="5"/>
        <v>6.3000000000000003E-4</v>
      </c>
      <c r="H34" s="15">
        <f t="shared" si="6"/>
        <v>1.6800000000000001E-3</v>
      </c>
      <c r="I34" s="14">
        <f t="shared" si="0"/>
        <v>16443.957433133528</v>
      </c>
      <c r="J34" s="16">
        <f t="shared" si="1"/>
        <v>4815081.7977912026</v>
      </c>
      <c r="K34" s="16">
        <f>SUM(J34:$J$130)</f>
        <v>122862822.18685803</v>
      </c>
      <c r="L34" s="16">
        <f t="shared" si="2"/>
        <v>7853.7256507662332</v>
      </c>
      <c r="M34" s="17">
        <f>SUM(L34:$L$130)</f>
        <v>1236557.0620304786</v>
      </c>
      <c r="O34" t="s">
        <v>59</v>
      </c>
      <c r="P34" s="23">
        <f>J37</f>
        <v>4383678.1796195852</v>
      </c>
    </row>
    <row r="35" spans="1:16" x14ac:dyDescent="0.2">
      <c r="C35" s="13">
        <f t="shared" si="7"/>
        <v>25</v>
      </c>
      <c r="D35" s="14">
        <f t="shared" si="3"/>
        <v>9771625.943241585</v>
      </c>
      <c r="E35" s="15">
        <v>1.07E-3</v>
      </c>
      <c r="F35" s="15">
        <f t="shared" si="4"/>
        <v>1.07E-3</v>
      </c>
      <c r="G35" s="32">
        <f t="shared" si="5"/>
        <v>6.4199999999999999E-4</v>
      </c>
      <c r="H35" s="15">
        <f t="shared" si="6"/>
        <v>1.712E-3</v>
      </c>
      <c r="I35" s="14">
        <f t="shared" si="0"/>
        <v>16729.023614829592</v>
      </c>
      <c r="J35" s="16">
        <f t="shared" si="1"/>
        <v>4666982.971233896</v>
      </c>
      <c r="K35" s="16">
        <f>SUM(J35:$J$130)</f>
        <v>118047740.38906682</v>
      </c>
      <c r="L35" s="16">
        <f t="shared" si="2"/>
        <v>7757.1600453907076</v>
      </c>
      <c r="M35" s="17">
        <f>SUM(L35:$L$130)</f>
        <v>1228703.3363797122</v>
      </c>
      <c r="P35" s="23"/>
    </row>
    <row r="36" spans="1:16" x14ac:dyDescent="0.2">
      <c r="C36" s="13">
        <f t="shared" si="7"/>
        <v>26</v>
      </c>
      <c r="D36" s="14">
        <f t="shared" si="3"/>
        <v>9754896.9196267556</v>
      </c>
      <c r="E36" s="15">
        <v>1.1200000000000001E-3</v>
      </c>
      <c r="F36" s="15">
        <f t="shared" si="4"/>
        <v>1.1200000000000001E-3</v>
      </c>
      <c r="G36" s="32">
        <f t="shared" si="5"/>
        <v>6.7200000000000007E-4</v>
      </c>
      <c r="H36" s="15">
        <f t="shared" si="6"/>
        <v>1.7920000000000002E-3</v>
      </c>
      <c r="I36" s="14">
        <f t="shared" si="0"/>
        <v>17480.775279971149</v>
      </c>
      <c r="J36" s="16">
        <f t="shared" si="1"/>
        <v>4523294.2683370328</v>
      </c>
      <c r="K36" s="16">
        <f>SUM(J36:$J$130)</f>
        <v>113380757.41783293</v>
      </c>
      <c r="L36" s="16">
        <f t="shared" si="2"/>
        <v>7869.653717339771</v>
      </c>
      <c r="M36" s="17">
        <f>SUM(L36:$L$130)</f>
        <v>1220946.1763343215</v>
      </c>
    </row>
    <row r="37" spans="1:16" x14ac:dyDescent="0.2">
      <c r="C37" s="13">
        <f t="shared" si="7"/>
        <v>27</v>
      </c>
      <c r="D37" s="14">
        <f t="shared" si="3"/>
        <v>9737416.1443467848</v>
      </c>
      <c r="E37" s="15">
        <v>1.17E-3</v>
      </c>
      <c r="F37" s="15">
        <f t="shared" si="4"/>
        <v>1.17E-3</v>
      </c>
      <c r="G37" s="32">
        <f t="shared" si="5"/>
        <v>7.0200000000000004E-4</v>
      </c>
      <c r="H37" s="15">
        <f t="shared" si="6"/>
        <v>1.872E-3</v>
      </c>
      <c r="I37" s="14">
        <f t="shared" si="0"/>
        <v>18228.44302221718</v>
      </c>
      <c r="J37" s="16">
        <f t="shared" si="1"/>
        <v>4383678.1796195852</v>
      </c>
      <c r="K37" s="16">
        <f>SUM(J37:$J$130)</f>
        <v>108857463.14949588</v>
      </c>
      <c r="L37" s="16">
        <f t="shared" si="2"/>
        <v>7967.2286915027807</v>
      </c>
      <c r="M37" s="17">
        <f>SUM(L37:$L$130)</f>
        <v>1213076.5226169818</v>
      </c>
      <c r="O37" t="s">
        <v>61</v>
      </c>
      <c r="P37" s="23">
        <f>(P25-P27)/(P29-P31)*1000</f>
        <v>2.0991169417593096</v>
      </c>
    </row>
    <row r="38" spans="1:16" x14ac:dyDescent="0.2">
      <c r="C38" s="13">
        <f t="shared" si="7"/>
        <v>28</v>
      </c>
      <c r="D38" s="14">
        <f t="shared" si="3"/>
        <v>9719187.7013245672</v>
      </c>
      <c r="E38" s="15">
        <v>1.17E-3</v>
      </c>
      <c r="F38" s="15">
        <f t="shared" si="4"/>
        <v>1.17E-3</v>
      </c>
      <c r="G38" s="32">
        <f t="shared" si="5"/>
        <v>7.0200000000000004E-4</v>
      </c>
      <c r="H38" s="15">
        <f t="shared" si="6"/>
        <v>1.872E-3</v>
      </c>
      <c r="I38" s="14">
        <f t="shared" si="0"/>
        <v>18194.31937687959</v>
      </c>
      <c r="J38" s="16">
        <f t="shared" si="1"/>
        <v>4248031.003948872</v>
      </c>
      <c r="K38" s="16">
        <f>SUM(J38:$J$130)</f>
        <v>104473784.9698763</v>
      </c>
      <c r="L38" s="16">
        <f t="shared" si="2"/>
        <v>7720.6932421284346</v>
      </c>
      <c r="M38" s="17">
        <f>SUM(L38:$L$130)</f>
        <v>1205109.2939254791</v>
      </c>
    </row>
    <row r="39" spans="1:16" x14ac:dyDescent="0.2">
      <c r="C39" s="13">
        <f t="shared" si="7"/>
        <v>29</v>
      </c>
      <c r="D39" s="14">
        <f t="shared" si="3"/>
        <v>9700993.3819476869</v>
      </c>
      <c r="E39" s="15">
        <v>1.15E-3</v>
      </c>
      <c r="F39" s="15">
        <f t="shared" si="4"/>
        <v>1.15E-3</v>
      </c>
      <c r="G39" s="32">
        <f t="shared" si="5"/>
        <v>6.8999999999999997E-4</v>
      </c>
      <c r="H39" s="15">
        <f t="shared" si="6"/>
        <v>1.8400000000000001E-3</v>
      </c>
      <c r="I39" s="14">
        <f t="shared" si="0"/>
        <v>17849.827822783744</v>
      </c>
      <c r="J39" s="16">
        <f t="shared" si="1"/>
        <v>4116581.2523393002</v>
      </c>
      <c r="K39" s="16">
        <f>SUM(J39:$J$130)</f>
        <v>100225753.96592742</v>
      </c>
      <c r="L39" s="16">
        <f t="shared" si="2"/>
        <v>7353.8927226255455</v>
      </c>
      <c r="M39" s="17">
        <f>SUM(L39:$L$130)</f>
        <v>1197388.6006833506</v>
      </c>
      <c r="O39" t="s">
        <v>62</v>
      </c>
      <c r="P39">
        <f>(P26-P27)/P34*1000</f>
        <v>30.126206930044184</v>
      </c>
    </row>
    <row r="40" spans="1:16" x14ac:dyDescent="0.2">
      <c r="A40" s="18"/>
      <c r="C40" s="13">
        <f t="shared" si="7"/>
        <v>30</v>
      </c>
      <c r="D40" s="14">
        <f t="shared" si="3"/>
        <v>9683143.5541249029</v>
      </c>
      <c r="E40" s="15">
        <v>1.14E-3</v>
      </c>
      <c r="F40" s="15">
        <f t="shared" si="4"/>
        <v>1.14E-3</v>
      </c>
      <c r="G40" s="32">
        <f t="shared" si="5"/>
        <v>6.8399999999999993E-4</v>
      </c>
      <c r="H40" s="15">
        <f t="shared" si="6"/>
        <v>1.8239999999999999E-3</v>
      </c>
      <c r="I40" s="14">
        <f t="shared" si="0"/>
        <v>17662.053842723821</v>
      </c>
      <c r="J40" s="16">
        <f t="shared" si="1"/>
        <v>3989326.9347912576</v>
      </c>
      <c r="K40" s="16">
        <f>SUM(J40:$J$130)</f>
        <v>96109172.713588104</v>
      </c>
      <c r="L40" s="16">
        <f t="shared" si="2"/>
        <v>7064.5944942322849</v>
      </c>
      <c r="M40" s="17">
        <f>SUM(L40:$L$130)</f>
        <v>1190034.7079607251</v>
      </c>
      <c r="O40" t="s">
        <v>63</v>
      </c>
      <c r="P40">
        <f>P37*(P30-P31)/P34</f>
        <v>29.290230213652134</v>
      </c>
    </row>
    <row r="41" spans="1:16" x14ac:dyDescent="0.2">
      <c r="C41" s="13">
        <f t="shared" si="7"/>
        <v>31</v>
      </c>
      <c r="D41" s="14">
        <f t="shared" si="3"/>
        <v>9665481.5002821796</v>
      </c>
      <c r="E41" s="15">
        <v>1.1299999999999999E-3</v>
      </c>
      <c r="F41" s="15">
        <f t="shared" si="4"/>
        <v>1.1299999999999999E-3</v>
      </c>
      <c r="G41" s="32">
        <f t="shared" si="5"/>
        <v>6.7799999999999989E-4</v>
      </c>
      <c r="H41" s="15">
        <f t="shared" si="6"/>
        <v>1.8079999999999997E-3</v>
      </c>
      <c r="I41" s="14">
        <f t="shared" si="0"/>
        <v>17475.190552510179</v>
      </c>
      <c r="J41" s="16">
        <f t="shared" si="1"/>
        <v>3866068.3519050474</v>
      </c>
      <c r="K41" s="16">
        <f>SUM(J41:$J$130)</f>
        <v>92119845.778796852</v>
      </c>
      <c r="L41" s="16">
        <f t="shared" si="2"/>
        <v>6786.2636701401207</v>
      </c>
      <c r="M41" s="17">
        <f>SUM(L41:$L$130)</f>
        <v>1182970.1134664926</v>
      </c>
    </row>
    <row r="42" spans="1:16" x14ac:dyDescent="0.2">
      <c r="C42" s="13">
        <f t="shared" si="7"/>
        <v>32</v>
      </c>
      <c r="D42" s="14">
        <f t="shared" si="3"/>
        <v>9648006.3097296692</v>
      </c>
      <c r="E42" s="15">
        <v>1.1299999999999999E-3</v>
      </c>
      <c r="F42" s="15">
        <f t="shared" si="4"/>
        <v>1.1299999999999999E-3</v>
      </c>
      <c r="G42" s="32">
        <f t="shared" si="5"/>
        <v>6.7799999999999989E-4</v>
      </c>
      <c r="H42" s="15">
        <f t="shared" si="6"/>
        <v>1.8079999999999997E-3</v>
      </c>
      <c r="I42" s="14">
        <f t="shared" si="0"/>
        <v>17443.595407991241</v>
      </c>
      <c r="J42" s="16">
        <f t="shared" si="1"/>
        <v>3746678.1556551484</v>
      </c>
      <c r="K42" s="16">
        <f>SUM(J42:$J$130)</f>
        <v>88253777.426891774</v>
      </c>
      <c r="L42" s="16">
        <f t="shared" si="2"/>
        <v>6576.6933062373855</v>
      </c>
      <c r="M42" s="17">
        <f>SUM(L42:$L$130)</f>
        <v>1176183.8497963527</v>
      </c>
      <c r="O42" t="s">
        <v>64</v>
      </c>
      <c r="P42" s="68">
        <f>P39-P40</f>
        <v>0.83597671639205018</v>
      </c>
    </row>
    <row r="43" spans="1:16" x14ac:dyDescent="0.2">
      <c r="C43" s="13">
        <f t="shared" si="7"/>
        <v>33</v>
      </c>
      <c r="D43" s="14">
        <f t="shared" si="3"/>
        <v>9630562.7143216785</v>
      </c>
      <c r="E43" s="15">
        <v>1.15E-3</v>
      </c>
      <c r="F43" s="15">
        <f t="shared" si="4"/>
        <v>1.15E-3</v>
      </c>
      <c r="G43" s="32">
        <f t="shared" si="5"/>
        <v>6.8999999999999997E-4</v>
      </c>
      <c r="H43" s="15">
        <f t="shared" si="6"/>
        <v>1.8400000000000001E-3</v>
      </c>
      <c r="I43" s="14">
        <f t="shared" si="0"/>
        <v>17720.23539435189</v>
      </c>
      <c r="J43" s="16">
        <f t="shared" si="1"/>
        <v>3630974.9141259454</v>
      </c>
      <c r="K43" s="16">
        <f>SUM(J43:$J$130)</f>
        <v>84507099.271236628</v>
      </c>
      <c r="L43" s="16">
        <f t="shared" si="2"/>
        <v>6486.4017883414954</v>
      </c>
      <c r="M43" s="17">
        <f>SUM(L43:$L$130)</f>
        <v>1169607.1564901152</v>
      </c>
    </row>
    <row r="44" spans="1:16" x14ac:dyDescent="0.2">
      <c r="C44" s="13">
        <f t="shared" si="7"/>
        <v>34</v>
      </c>
      <c r="D44" s="14">
        <f t="shared" si="3"/>
        <v>9612842.4789273273</v>
      </c>
      <c r="E44" s="15">
        <v>1.1799999999999998E-3</v>
      </c>
      <c r="F44" s="15">
        <f t="shared" si="4"/>
        <v>1.1799999999999998E-3</v>
      </c>
      <c r="G44" s="32">
        <f t="shared" si="5"/>
        <v>7.0799999999999986E-4</v>
      </c>
      <c r="H44" s="15">
        <f t="shared" si="6"/>
        <v>1.8879999999999997E-3</v>
      </c>
      <c r="I44" s="14">
        <f t="shared" si="0"/>
        <v>18149.046600214791</v>
      </c>
      <c r="J44" s="16">
        <f t="shared" si="1"/>
        <v>3518731.9614407322</v>
      </c>
      <c r="K44" s="16">
        <f>SUM(J44:$J$130)</f>
        <v>80876124.357110679</v>
      </c>
      <c r="L44" s="16">
        <f t="shared" si="2"/>
        <v>6449.8698477670887</v>
      </c>
      <c r="M44" s="17">
        <f>SUM(L44:$L$130)</f>
        <v>1163120.7547017736</v>
      </c>
    </row>
    <row r="45" spans="1:16" x14ac:dyDescent="0.2">
      <c r="C45" s="64">
        <f t="shared" si="7"/>
        <v>35</v>
      </c>
      <c r="D45" s="65">
        <f t="shared" si="3"/>
        <v>9594693.4323271122</v>
      </c>
      <c r="E45" s="66">
        <v>1.2099999999999999E-3</v>
      </c>
      <c r="F45" s="15">
        <f t="shared" si="4"/>
        <v>1.2099999999999999E-3</v>
      </c>
      <c r="G45" s="32">
        <f t="shared" si="5"/>
        <v>7.2599999999999997E-4</v>
      </c>
      <c r="H45" s="15">
        <f t="shared" si="6"/>
        <v>1.9359999999999998E-3</v>
      </c>
      <c r="I45" s="14">
        <f t="shared" si="0"/>
        <v>18575.326484985286</v>
      </c>
      <c r="J45" s="16">
        <f t="shared" si="1"/>
        <v>3409794.7529102252</v>
      </c>
      <c r="K45" s="16">
        <f>SUM(J45:$J$130)</f>
        <v>77357392.395669952</v>
      </c>
      <c r="L45" s="16">
        <f t="shared" si="2"/>
        <v>6409.0899433341701</v>
      </c>
      <c r="M45" s="17">
        <f>SUM(L45:$L$130)</f>
        <v>1156670.8848540066</v>
      </c>
    </row>
    <row r="46" spans="1:16" x14ac:dyDescent="0.2">
      <c r="C46" s="64">
        <f t="shared" si="7"/>
        <v>36</v>
      </c>
      <c r="D46" s="65">
        <f t="shared" si="3"/>
        <v>9576118.1058421265</v>
      </c>
      <c r="E46" s="66">
        <v>1.2800000000000001E-3</v>
      </c>
      <c r="F46" s="15">
        <f t="shared" si="4"/>
        <v>1.2800000000000001E-3</v>
      </c>
      <c r="G46" s="32">
        <f t="shared" si="5"/>
        <v>7.6800000000000002E-4</v>
      </c>
      <c r="H46" s="15">
        <f t="shared" si="6"/>
        <v>2.0480000000000003E-3</v>
      </c>
      <c r="I46" s="14">
        <f t="shared" si="0"/>
        <v>19611.88988076468</v>
      </c>
      <c r="J46" s="16">
        <f t="shared" si="1"/>
        <v>3304071.2526879525</v>
      </c>
      <c r="K46" s="16">
        <f>SUM(J46:$J$130)</f>
        <v>73947597.642759725</v>
      </c>
      <c r="L46" s="16">
        <f t="shared" si="2"/>
        <v>6569.6484713640075</v>
      </c>
      <c r="M46" s="17">
        <f>SUM(L46:$L$130)</f>
        <v>1150261.7949106724</v>
      </c>
    </row>
    <row r="47" spans="1:16" x14ac:dyDescent="0.2">
      <c r="C47" s="64">
        <f t="shared" si="7"/>
        <v>37</v>
      </c>
      <c r="D47" s="65">
        <f t="shared" si="3"/>
        <v>9556506.2159613613</v>
      </c>
      <c r="E47" s="66">
        <v>1.34E-3</v>
      </c>
      <c r="F47" s="15">
        <f t="shared" si="4"/>
        <v>1.34E-3</v>
      </c>
      <c r="G47" s="32">
        <f t="shared" si="5"/>
        <v>8.0400000000000003E-4</v>
      </c>
      <c r="H47" s="15">
        <f t="shared" si="6"/>
        <v>2.1440000000000001E-3</v>
      </c>
      <c r="I47" s="14">
        <f t="shared" si="0"/>
        <v>20489.149327021158</v>
      </c>
      <c r="J47" s="16">
        <f t="shared" si="1"/>
        <v>3201266.5191868418</v>
      </c>
      <c r="K47" s="16">
        <f>SUM(J47:$J$130)</f>
        <v>70643526.390071779</v>
      </c>
      <c r="L47" s="16">
        <f t="shared" si="2"/>
        <v>6663.6072011034839</v>
      </c>
      <c r="M47" s="17">
        <f>SUM(L47:$L$130)</f>
        <v>1143692.1464393083</v>
      </c>
    </row>
    <row r="48" spans="1:16" x14ac:dyDescent="0.2">
      <c r="C48" s="64">
        <f t="shared" si="7"/>
        <v>38</v>
      </c>
      <c r="D48" s="65">
        <f t="shared" si="3"/>
        <v>9536017.0666343402</v>
      </c>
      <c r="E48" s="66">
        <v>1.4399999999999999E-3</v>
      </c>
      <c r="F48" s="15">
        <f t="shared" si="4"/>
        <v>1.4399999999999999E-3</v>
      </c>
      <c r="G48" s="32">
        <f t="shared" si="5"/>
        <v>8.6399999999999986E-4</v>
      </c>
      <c r="H48" s="15">
        <f t="shared" si="6"/>
        <v>2.3039999999999996E-3</v>
      </c>
      <c r="I48" s="14">
        <f t="shared" si="0"/>
        <v>21970.983321525517</v>
      </c>
      <c r="J48" s="16">
        <f t="shared" si="1"/>
        <v>3101362.1395822382</v>
      </c>
      <c r="K48" s="16">
        <f>SUM(J48:$J$130)</f>
        <v>67442259.87088491</v>
      </c>
      <c r="L48" s="16">
        <f t="shared" si="2"/>
        <v>6937.4158928130837</v>
      </c>
      <c r="M48" s="17">
        <f>SUM(L48:$L$130)</f>
        <v>1137028.5392382047</v>
      </c>
    </row>
    <row r="49" spans="2:13" x14ac:dyDescent="0.2">
      <c r="C49" s="64">
        <f t="shared" si="7"/>
        <v>39</v>
      </c>
      <c r="D49" s="65">
        <f t="shared" si="3"/>
        <v>9514046.0833128151</v>
      </c>
      <c r="E49" s="66">
        <v>1.5400000000000001E-3</v>
      </c>
      <c r="F49" s="15">
        <f t="shared" si="4"/>
        <v>1.5400000000000001E-3</v>
      </c>
      <c r="G49" s="32">
        <f t="shared" si="5"/>
        <v>9.2400000000000002E-4</v>
      </c>
      <c r="H49" s="15">
        <f t="shared" si="6"/>
        <v>2.464E-3</v>
      </c>
      <c r="I49" s="14">
        <f t="shared" si="0"/>
        <v>23442.609549282777</v>
      </c>
      <c r="J49" s="16">
        <f t="shared" si="1"/>
        <v>3004093.7875850881</v>
      </c>
      <c r="K49" s="16">
        <f>SUM(J49:$J$130)</f>
        <v>64340897.731302693</v>
      </c>
      <c r="L49" s="16">
        <f t="shared" si="2"/>
        <v>7186.4923229219967</v>
      </c>
      <c r="M49" s="17">
        <f>SUM(L49:$L$130)</f>
        <v>1130091.1233453916</v>
      </c>
    </row>
    <row r="50" spans="2:13" x14ac:dyDescent="0.2">
      <c r="B50">
        <f>600*F50</f>
        <v>0.99</v>
      </c>
      <c r="C50" s="64">
        <f t="shared" si="7"/>
        <v>40</v>
      </c>
      <c r="D50" s="65">
        <f t="shared" si="3"/>
        <v>9490603.4737635329</v>
      </c>
      <c r="E50" s="66">
        <v>1.65E-3</v>
      </c>
      <c r="F50" s="15">
        <f t="shared" si="4"/>
        <v>1.65E-3</v>
      </c>
      <c r="G50" s="32">
        <f t="shared" si="5"/>
        <v>9.8999999999999999E-4</v>
      </c>
      <c r="H50" s="15">
        <f t="shared" si="6"/>
        <v>2.64E-3</v>
      </c>
      <c r="I50" s="14">
        <f t="shared" si="0"/>
        <v>25055.193170735725</v>
      </c>
      <c r="J50" s="16">
        <f t="shared" si="1"/>
        <v>2909409.4179538623</v>
      </c>
      <c r="K50" s="16">
        <f>SUM(J50:$J$130)</f>
        <v>61336803.943717599</v>
      </c>
      <c r="L50" s="16">
        <f t="shared" si="2"/>
        <v>7457.1270518429101</v>
      </c>
      <c r="M50" s="17">
        <f>SUM(L50:$L$130)</f>
        <v>1122904.6310224696</v>
      </c>
    </row>
    <row r="51" spans="2:13" x14ac:dyDescent="0.2">
      <c r="C51" s="64">
        <f t="shared" si="7"/>
        <v>41</v>
      </c>
      <c r="D51" s="65">
        <f t="shared" si="3"/>
        <v>9465548.2805927973</v>
      </c>
      <c r="E51" s="66">
        <v>1.7900000000000001E-3</v>
      </c>
      <c r="F51" s="15">
        <f t="shared" si="4"/>
        <v>1.7900000000000001E-3</v>
      </c>
      <c r="G51" s="32">
        <f t="shared" si="5"/>
        <v>1.0740000000000001E-3</v>
      </c>
      <c r="H51" s="15">
        <f t="shared" si="6"/>
        <v>2.8640000000000002E-3</v>
      </c>
      <c r="I51" s="14">
        <f t="shared" si="0"/>
        <v>27109.330275617773</v>
      </c>
      <c r="J51" s="16">
        <f t="shared" si="1"/>
        <v>2817212.2107674414</v>
      </c>
      <c r="K51" s="16">
        <f>SUM(J51:$J$130)</f>
        <v>58427394.525763743</v>
      </c>
      <c r="L51" s="16">
        <f t="shared" si="2"/>
        <v>7833.491040425195</v>
      </c>
      <c r="M51" s="17">
        <f>SUM(L51:$L$130)</f>
        <v>1115447.5039706267</v>
      </c>
    </row>
    <row r="52" spans="2:13" x14ac:dyDescent="0.2">
      <c r="C52" s="64">
        <f t="shared" si="7"/>
        <v>42</v>
      </c>
      <c r="D52" s="65">
        <f t="shared" si="3"/>
        <v>9438438.9503171798</v>
      </c>
      <c r="E52" s="66">
        <v>1.9599999999999999E-3</v>
      </c>
      <c r="F52" s="15">
        <f t="shared" si="4"/>
        <v>1.9599999999999999E-3</v>
      </c>
      <c r="G52" s="32">
        <f t="shared" si="5"/>
        <v>1.176E-3</v>
      </c>
      <c r="H52" s="15">
        <f t="shared" si="6"/>
        <v>3.1359999999999999E-3</v>
      </c>
      <c r="I52" s="14">
        <f t="shared" si="0"/>
        <v>29598.944548194675</v>
      </c>
      <c r="J52" s="16">
        <f t="shared" si="1"/>
        <v>2727323.9951415565</v>
      </c>
      <c r="K52" s="16">
        <f>SUM(J52:$J$130)</f>
        <v>55610182.314996295</v>
      </c>
      <c r="L52" s="16">
        <f t="shared" si="2"/>
        <v>8303.7748046251654</v>
      </c>
      <c r="M52" s="17">
        <f>SUM(L52:$L$130)</f>
        <v>1107614.0129302014</v>
      </c>
    </row>
    <row r="53" spans="2:13" x14ac:dyDescent="0.2">
      <c r="C53" s="64">
        <f t="shared" si="7"/>
        <v>43</v>
      </c>
      <c r="D53" s="65">
        <f t="shared" si="3"/>
        <v>9408840.0057689846</v>
      </c>
      <c r="E53" s="66">
        <v>2.15E-3</v>
      </c>
      <c r="F53" s="15">
        <f t="shared" si="4"/>
        <v>2.15E-3</v>
      </c>
      <c r="G53" s="32">
        <f t="shared" si="5"/>
        <v>1.2899999999999999E-3</v>
      </c>
      <c r="H53" s="15">
        <f t="shared" si="6"/>
        <v>3.4399999999999999E-3</v>
      </c>
      <c r="I53" s="14">
        <f t="shared" si="0"/>
        <v>32366.409619845304</v>
      </c>
      <c r="J53" s="16">
        <f t="shared" si="1"/>
        <v>2639583.5991192157</v>
      </c>
      <c r="K53" s="16">
        <f>SUM(J53:$J$130)</f>
        <v>52882858.319854736</v>
      </c>
      <c r="L53" s="16">
        <f t="shared" si="2"/>
        <v>8815.6966805534976</v>
      </c>
      <c r="M53" s="17">
        <f>SUM(L53:$L$130)</f>
        <v>1099310.2381255762</v>
      </c>
    </row>
    <row r="54" spans="2:13" x14ac:dyDescent="0.2">
      <c r="C54" s="64">
        <f t="shared" si="7"/>
        <v>44</v>
      </c>
      <c r="D54" s="65">
        <f t="shared" si="3"/>
        <v>9376473.5961491391</v>
      </c>
      <c r="E54" s="66">
        <v>2.3900000000000002E-3</v>
      </c>
      <c r="F54" s="15">
        <f t="shared" si="4"/>
        <v>2.3900000000000002E-3</v>
      </c>
      <c r="G54" s="32">
        <f t="shared" si="5"/>
        <v>1.4340000000000002E-3</v>
      </c>
      <c r="H54" s="15">
        <f t="shared" si="6"/>
        <v>3.8240000000000001E-3</v>
      </c>
      <c r="I54" s="14">
        <f t="shared" si="0"/>
        <v>35855.635031674312</v>
      </c>
      <c r="J54" s="16">
        <f t="shared" si="1"/>
        <v>2553886.8267361615</v>
      </c>
      <c r="K54" s="16">
        <f>SUM(J54:$J$130)</f>
        <v>50243274.72073552</v>
      </c>
      <c r="L54" s="16">
        <f t="shared" si="2"/>
        <v>9481.6147819796897</v>
      </c>
      <c r="M54" s="17">
        <f>SUM(L54:$L$130)</f>
        <v>1090494.5414450227</v>
      </c>
    </row>
    <row r="55" spans="2:13" x14ac:dyDescent="0.2">
      <c r="C55" s="64">
        <f t="shared" si="7"/>
        <v>45</v>
      </c>
      <c r="D55" s="65">
        <f t="shared" si="3"/>
        <v>9340617.961117465</v>
      </c>
      <c r="E55" s="66">
        <v>2.65E-3</v>
      </c>
      <c r="F55" s="15">
        <f t="shared" si="4"/>
        <v>2.65E-3</v>
      </c>
      <c r="G55" s="32">
        <f t="shared" si="5"/>
        <v>1.5900000000000001E-3</v>
      </c>
      <c r="H55" s="15">
        <f t="shared" si="6"/>
        <v>4.2399999999999998E-3</v>
      </c>
      <c r="I55" s="14">
        <f t="shared" si="0"/>
        <v>39604.220155138049</v>
      </c>
      <c r="J55" s="16">
        <f t="shared" si="1"/>
        <v>2470020.1587482737</v>
      </c>
      <c r="K55" s="16">
        <f>SUM(J55:$J$130)</f>
        <v>47689387.893999361</v>
      </c>
      <c r="L55" s="16">
        <f t="shared" si="2"/>
        <v>10167.849973876389</v>
      </c>
      <c r="M55" s="17">
        <f>SUM(L55:$L$130)</f>
        <v>1081012.9266630427</v>
      </c>
    </row>
    <row r="56" spans="2:13" x14ac:dyDescent="0.2">
      <c r="C56" s="64">
        <f t="shared" si="7"/>
        <v>46</v>
      </c>
      <c r="D56" s="65">
        <f t="shared" si="3"/>
        <v>9301013.7409623265</v>
      </c>
      <c r="E56" s="66">
        <v>2.8999999999999998E-3</v>
      </c>
      <c r="F56" s="15">
        <f t="shared" si="4"/>
        <v>2.8999999999999998E-3</v>
      </c>
      <c r="G56" s="32">
        <f t="shared" si="5"/>
        <v>1.7399999999999998E-3</v>
      </c>
      <c r="H56" s="15">
        <f t="shared" si="6"/>
        <v>4.64E-3</v>
      </c>
      <c r="I56" s="14">
        <f t="shared" si="0"/>
        <v>43156.703758065196</v>
      </c>
      <c r="J56" s="16">
        <f t="shared" si="1"/>
        <v>2387909.9740535743</v>
      </c>
      <c r="K56" s="16">
        <f>SUM(J56:$J$130)</f>
        <v>45219367.735251091</v>
      </c>
      <c r="L56" s="16">
        <f t="shared" si="2"/>
        <v>10757.186679231634</v>
      </c>
      <c r="M56" s="17">
        <f>SUM(L56:$L$130)</f>
        <v>1070845.0766891662</v>
      </c>
    </row>
    <row r="57" spans="2:13" x14ac:dyDescent="0.2">
      <c r="C57" s="64">
        <f t="shared" si="7"/>
        <v>47</v>
      </c>
      <c r="D57" s="65">
        <f t="shared" si="3"/>
        <v>9257857.0372042619</v>
      </c>
      <c r="E57" s="66">
        <v>3.1700000000000001E-3</v>
      </c>
      <c r="F57" s="15">
        <f t="shared" si="4"/>
        <v>3.1700000000000001E-3</v>
      </c>
      <c r="G57" s="32">
        <f t="shared" si="5"/>
        <v>1.902E-3</v>
      </c>
      <c r="H57" s="15">
        <f t="shared" si="6"/>
        <v>5.0720000000000001E-3</v>
      </c>
      <c r="I57" s="14">
        <f t="shared" si="0"/>
        <v>46955.850892700015</v>
      </c>
      <c r="J57" s="16">
        <f t="shared" si="1"/>
        <v>2307602.0114310347</v>
      </c>
      <c r="K57" s="16">
        <f>SUM(J57:$J$130)</f>
        <v>42831457.761197515</v>
      </c>
      <c r="L57" s="16">
        <f t="shared" si="2"/>
        <v>11363.259613571074</v>
      </c>
      <c r="M57" s="17">
        <f>SUM(L57:$L$130)</f>
        <v>1060087.8900099345</v>
      </c>
    </row>
    <row r="58" spans="2:13" x14ac:dyDescent="0.2">
      <c r="C58" s="64">
        <f t="shared" si="7"/>
        <v>48</v>
      </c>
      <c r="D58" s="65">
        <f t="shared" si="3"/>
        <v>9210901.1863115616</v>
      </c>
      <c r="E58" s="66">
        <v>3.3300000000000001E-3</v>
      </c>
      <c r="F58" s="15">
        <f t="shared" si="4"/>
        <v>3.3300000000000001E-3</v>
      </c>
      <c r="G58" s="32">
        <f t="shared" si="5"/>
        <v>1.9979999999999998E-3</v>
      </c>
      <c r="H58" s="15">
        <f t="shared" si="6"/>
        <v>5.3279999999999994E-3</v>
      </c>
      <c r="I58" s="14">
        <f t="shared" si="0"/>
        <v>49075.681520667997</v>
      </c>
      <c r="J58" s="16">
        <f t="shared" si="1"/>
        <v>2229027.0427466566</v>
      </c>
      <c r="K58" s="16">
        <f>SUM(J58:$J$130)</f>
        <v>40523855.749766484</v>
      </c>
      <c r="L58" s="16">
        <f t="shared" si="2"/>
        <v>11530.345712382703</v>
      </c>
      <c r="M58" s="17">
        <f>SUM(L58:$L$130)</f>
        <v>1048724.6303963631</v>
      </c>
    </row>
    <row r="59" spans="2:13" x14ac:dyDescent="0.2">
      <c r="C59" s="64">
        <f t="shared" si="7"/>
        <v>49</v>
      </c>
      <c r="D59" s="65">
        <f t="shared" si="3"/>
        <v>9161825.5047908928</v>
      </c>
      <c r="E59" s="66">
        <v>3.5200000000000001E-3</v>
      </c>
      <c r="F59" s="15">
        <f t="shared" si="4"/>
        <v>3.5200000000000001E-3</v>
      </c>
      <c r="G59" s="32">
        <f t="shared" si="5"/>
        <v>2.1120000000000002E-3</v>
      </c>
      <c r="H59" s="15">
        <f t="shared" si="6"/>
        <v>5.6319999999999999E-3</v>
      </c>
      <c r="I59" s="14">
        <f t="shared" si="0"/>
        <v>51599.401242982305</v>
      </c>
      <c r="J59" s="16">
        <f t="shared" si="1"/>
        <v>2152573.5792843709</v>
      </c>
      <c r="K59" s="16">
        <f>SUM(J59:$J$130)</f>
        <v>38294828.707019828</v>
      </c>
      <c r="L59" s="16">
        <f t="shared" si="2"/>
        <v>11770.188736436481</v>
      </c>
      <c r="M59" s="17">
        <f>SUM(L59:$L$130)</f>
        <v>1037194.2846839803</v>
      </c>
    </row>
    <row r="60" spans="2:13" x14ac:dyDescent="0.2">
      <c r="C60" s="64">
        <f t="shared" si="7"/>
        <v>50</v>
      </c>
      <c r="D60" s="65">
        <f t="shared" si="3"/>
        <v>9110226.1035479102</v>
      </c>
      <c r="E60" s="66">
        <v>3.7599999999999999E-3</v>
      </c>
      <c r="F60" s="15">
        <f t="shared" si="4"/>
        <v>3.7599999999999999E-3</v>
      </c>
      <c r="G60" s="32">
        <f t="shared" si="5"/>
        <v>2.2559999999999998E-3</v>
      </c>
      <c r="H60" s="15">
        <f t="shared" si="6"/>
        <v>6.0159999999999996E-3</v>
      </c>
      <c r="I60" s="14">
        <f t="shared" si="0"/>
        <v>54807.120238944226</v>
      </c>
      <c r="J60" s="16">
        <f t="shared" si="1"/>
        <v>2078107.0727047001</v>
      </c>
      <c r="K60" s="16">
        <f>SUM(J60:$J$130)</f>
        <v>36142255.127735451</v>
      </c>
      <c r="L60" s="16">
        <f t="shared" si="2"/>
        <v>12137.759368341238</v>
      </c>
      <c r="M60" s="17">
        <f>SUM(L60:$L$130)</f>
        <v>1025424.0959475439</v>
      </c>
    </row>
    <row r="61" spans="2:13" x14ac:dyDescent="0.2">
      <c r="C61" s="13">
        <f t="shared" si="7"/>
        <v>51</v>
      </c>
      <c r="D61" s="14">
        <f t="shared" si="3"/>
        <v>9055418.9833089653</v>
      </c>
      <c r="E61" s="15">
        <v>4.0599999999999994E-3</v>
      </c>
      <c r="F61" s="15">
        <f t="shared" si="4"/>
        <v>4.0599999999999994E-3</v>
      </c>
      <c r="G61" s="32">
        <f t="shared" si="5"/>
        <v>2.4359999999999994E-3</v>
      </c>
      <c r="H61" s="15">
        <f t="shared" si="6"/>
        <v>6.4959999999999983E-3</v>
      </c>
      <c r="I61" s="14">
        <f t="shared" si="0"/>
        <v>58824.001715575025</v>
      </c>
      <c r="J61" s="16">
        <f t="shared" si="1"/>
        <v>2005441.9228692316</v>
      </c>
      <c r="K61" s="16">
        <f>SUM(J61:$J$130)</f>
        <v>34064148.055030763</v>
      </c>
      <c r="L61" s="16">
        <f t="shared" si="2"/>
        <v>12647.913331027696</v>
      </c>
      <c r="M61" s="17">
        <f>SUM(L61:$L$130)</f>
        <v>1013286.3365792026</v>
      </c>
    </row>
    <row r="62" spans="2:13" x14ac:dyDescent="0.2">
      <c r="C62" s="13">
        <f t="shared" si="7"/>
        <v>52</v>
      </c>
      <c r="D62" s="14">
        <f t="shared" si="3"/>
        <v>8996594.9815933909</v>
      </c>
      <c r="E62" s="15">
        <v>4.47E-3</v>
      </c>
      <c r="F62" s="15">
        <f t="shared" si="4"/>
        <v>4.47E-3</v>
      </c>
      <c r="G62" s="32">
        <f t="shared" si="5"/>
        <v>2.6819999999999999E-3</v>
      </c>
      <c r="H62" s="15">
        <f t="shared" si="6"/>
        <v>7.1520000000000004E-3</v>
      </c>
      <c r="I62" s="14">
        <f t="shared" si="0"/>
        <v>64343.647308355932</v>
      </c>
      <c r="J62" s="16">
        <f t="shared" si="1"/>
        <v>1934383.0797458964</v>
      </c>
      <c r="K62" s="16">
        <f>SUM(J62:$J$130)</f>
        <v>32058706.132161506</v>
      </c>
      <c r="L62" s="16">
        <f t="shared" si="2"/>
        <v>13431.755132371507</v>
      </c>
      <c r="M62" s="17">
        <f>SUM(L62:$L$130)</f>
        <v>1000638.4232481749</v>
      </c>
    </row>
    <row r="63" spans="2:13" x14ac:dyDescent="0.2">
      <c r="C63" s="13">
        <f t="shared" si="7"/>
        <v>53</v>
      </c>
      <c r="D63" s="14">
        <f t="shared" si="3"/>
        <v>8932251.3342850357</v>
      </c>
      <c r="E63" s="15">
        <v>4.9299999999999995E-3</v>
      </c>
      <c r="F63" s="15">
        <f t="shared" si="4"/>
        <v>4.9299999999999995E-3</v>
      </c>
      <c r="G63" s="32">
        <f t="shared" si="5"/>
        <v>2.9579999999999997E-3</v>
      </c>
      <c r="H63" s="15">
        <f t="shared" si="6"/>
        <v>7.8879999999999992E-3</v>
      </c>
      <c r="I63" s="14">
        <f t="shared" si="0"/>
        <v>70457.598524840359</v>
      </c>
      <c r="J63" s="16">
        <f t="shared" si="1"/>
        <v>1864610.0698636447</v>
      </c>
      <c r="K63" s="16">
        <f>SUM(J63:$J$130)</f>
        <v>30124323.052415613</v>
      </c>
      <c r="L63" s="16">
        <f t="shared" si="2"/>
        <v>14279.654593285852</v>
      </c>
      <c r="M63" s="17">
        <f>SUM(L63:$L$130)</f>
        <v>987206.66811580339</v>
      </c>
    </row>
    <row r="64" spans="2:13" x14ac:dyDescent="0.2">
      <c r="C64" s="13">
        <f t="shared" si="7"/>
        <v>54</v>
      </c>
      <c r="D64" s="14">
        <f t="shared" si="3"/>
        <v>8861793.7357601952</v>
      </c>
      <c r="E64" s="15">
        <v>5.4999999999999997E-3</v>
      </c>
      <c r="F64" s="15">
        <f t="shared" si="4"/>
        <v>5.4999999999999997E-3</v>
      </c>
      <c r="G64" s="32">
        <f t="shared" si="5"/>
        <v>3.2999999999999995E-3</v>
      </c>
      <c r="H64" s="15">
        <f t="shared" si="6"/>
        <v>8.7999999999999988E-3</v>
      </c>
      <c r="I64" s="14">
        <f t="shared" si="0"/>
        <v>77983.784874689707</v>
      </c>
      <c r="J64" s="16">
        <f t="shared" si="1"/>
        <v>1796021.3841092817</v>
      </c>
      <c r="K64" s="16">
        <f>SUM(J64:$J$130)</f>
        <v>28259712.982551966</v>
      </c>
      <c r="L64" s="16">
        <f t="shared" si="2"/>
        <v>15344.648718603568</v>
      </c>
      <c r="M64" s="17">
        <f>SUM(L64:$L$130)</f>
        <v>972927.01352251752</v>
      </c>
    </row>
    <row r="65" spans="3:13" x14ac:dyDescent="0.2">
      <c r="C65" s="13">
        <f t="shared" si="7"/>
        <v>55</v>
      </c>
      <c r="D65" s="14">
        <f t="shared" si="3"/>
        <v>8783809.9508855063</v>
      </c>
      <c r="E65" s="15">
        <v>6.1700000000000001E-3</v>
      </c>
      <c r="F65" s="15">
        <f t="shared" si="4"/>
        <v>6.1700000000000001E-3</v>
      </c>
      <c r="G65" s="32">
        <f t="shared" si="5"/>
        <v>3.702E-3</v>
      </c>
      <c r="H65" s="15">
        <f t="shared" si="6"/>
        <v>9.8720000000000006E-3</v>
      </c>
      <c r="I65" s="14">
        <f t="shared" si="0"/>
        <v>86713.771835141728</v>
      </c>
      <c r="J65" s="16">
        <f t="shared" si="1"/>
        <v>1728365.4329408931</v>
      </c>
      <c r="K65" s="16">
        <f>SUM(J65:$J$130)</f>
        <v>26463691.598442685</v>
      </c>
      <c r="L65" s="16">
        <f t="shared" si="2"/>
        <v>16565.459761157766</v>
      </c>
      <c r="M65" s="17">
        <f>SUM(L65:$L$130)</f>
        <v>957582.36480391398</v>
      </c>
    </row>
    <row r="66" spans="3:13" x14ac:dyDescent="0.2">
      <c r="C66" s="13">
        <f t="shared" si="7"/>
        <v>56</v>
      </c>
      <c r="D66" s="14">
        <f t="shared" si="3"/>
        <v>8697096.1790503655</v>
      </c>
      <c r="E66" s="15">
        <v>6.8799999999999998E-3</v>
      </c>
      <c r="F66" s="15">
        <f t="shared" si="4"/>
        <v>6.8799999999999998E-3</v>
      </c>
      <c r="G66" s="32">
        <f t="shared" si="5"/>
        <v>4.1279999999999997E-3</v>
      </c>
      <c r="H66" s="15">
        <f t="shared" si="6"/>
        <v>1.1008E-2</v>
      </c>
      <c r="I66" s="14">
        <f t="shared" si="0"/>
        <v>95737.634738986424</v>
      </c>
      <c r="J66" s="16">
        <f t="shared" si="1"/>
        <v>1661459.2324144668</v>
      </c>
      <c r="K66" s="16">
        <f>SUM(J66:$J$130)</f>
        <v>24735326.165501788</v>
      </c>
      <c r="L66" s="16">
        <f t="shared" si="2"/>
        <v>17756.643913027623</v>
      </c>
      <c r="M66" s="17">
        <f>SUM(L66:$L$130)</f>
        <v>941016.90504275623</v>
      </c>
    </row>
    <row r="67" spans="3:13" x14ac:dyDescent="0.2">
      <c r="C67" s="13">
        <f t="shared" si="7"/>
        <v>57</v>
      </c>
      <c r="D67" s="14">
        <f t="shared" si="3"/>
        <v>8601358.5443113782</v>
      </c>
      <c r="E67" s="15">
        <v>7.6400000000000001E-3</v>
      </c>
      <c r="F67" s="15">
        <f t="shared" si="4"/>
        <v>7.6400000000000001E-3</v>
      </c>
      <c r="G67" s="32">
        <f t="shared" si="5"/>
        <v>4.5839999999999995E-3</v>
      </c>
      <c r="H67" s="15">
        <f t="shared" si="6"/>
        <v>1.2223999999999999E-2</v>
      </c>
      <c r="I67" s="14">
        <f t="shared" si="0"/>
        <v>105143.00684566228</v>
      </c>
      <c r="J67" s="16">
        <f t="shared" si="1"/>
        <v>1595310.5720233477</v>
      </c>
      <c r="K67" s="16">
        <f>SUM(J67:$J$130)</f>
        <v>23073866.933087323</v>
      </c>
      <c r="L67" s="16">
        <f t="shared" si="2"/>
        <v>18933.083914964467</v>
      </c>
      <c r="M67" s="17">
        <f>SUM(L67:$L$130)</f>
        <v>923260.26112972852</v>
      </c>
    </row>
    <row r="68" spans="3:13" x14ac:dyDescent="0.2">
      <c r="C68" s="13">
        <f t="shared" si="7"/>
        <v>58</v>
      </c>
      <c r="D68" s="14">
        <f t="shared" si="3"/>
        <v>8496215.5374657158</v>
      </c>
      <c r="E68" s="15">
        <v>8.2699999999999996E-3</v>
      </c>
      <c r="F68" s="15">
        <f t="shared" si="4"/>
        <v>8.2699999999999996E-3</v>
      </c>
      <c r="G68" s="32">
        <f t="shared" si="5"/>
        <v>4.9619999999999994E-3</v>
      </c>
      <c r="H68" s="15">
        <f t="shared" si="6"/>
        <v>1.3231999999999999E-2</v>
      </c>
      <c r="I68" s="14">
        <f t="shared" si="0"/>
        <v>112421.92399174634</v>
      </c>
      <c r="J68" s="16">
        <f t="shared" si="1"/>
        <v>1529912.1316416836</v>
      </c>
      <c r="K68" s="16">
        <f>SUM(J68:$J$130)</f>
        <v>21478556.361063976</v>
      </c>
      <c r="L68" s="16">
        <f t="shared" si="2"/>
        <v>19654.172161051221</v>
      </c>
      <c r="M68" s="17">
        <f>SUM(L68:$L$130)</f>
        <v>904327.17721476406</v>
      </c>
    </row>
    <row r="69" spans="3:13" x14ac:dyDescent="0.2">
      <c r="C69" s="13">
        <f t="shared" si="7"/>
        <v>59</v>
      </c>
      <c r="D69" s="14">
        <f t="shared" si="3"/>
        <v>8383793.6134739695</v>
      </c>
      <c r="E69" s="15">
        <v>8.9899999999999997E-3</v>
      </c>
      <c r="F69" s="15">
        <f t="shared" si="4"/>
        <v>8.9899999999999997E-3</v>
      </c>
      <c r="G69" s="32">
        <f t="shared" si="5"/>
        <v>5.3939999999999995E-3</v>
      </c>
      <c r="H69" s="15">
        <f t="shared" si="6"/>
        <v>1.4383999999999999E-2</v>
      </c>
      <c r="I69" s="14">
        <f t="shared" si="0"/>
        <v>120592.48733620957</v>
      </c>
      <c r="J69" s="16">
        <f t="shared" si="1"/>
        <v>1465697.4119570884</v>
      </c>
      <c r="K69" s="16">
        <f>SUM(J69:$J$130)</f>
        <v>19948644.229422294</v>
      </c>
      <c r="L69" s="16">
        <f t="shared" si="2"/>
        <v>20468.535508340545</v>
      </c>
      <c r="M69" s="17">
        <f>SUM(L69:$L$130)</f>
        <v>884673.00505371287</v>
      </c>
    </row>
    <row r="70" spans="3:13" x14ac:dyDescent="0.2">
      <c r="C70" s="13">
        <f t="shared" si="7"/>
        <v>60</v>
      </c>
      <c r="D70" s="14">
        <f t="shared" si="3"/>
        <v>8263201.1261377595</v>
      </c>
      <c r="E70" s="15">
        <v>9.859999999999999E-3</v>
      </c>
      <c r="F70" s="15">
        <f t="shared" si="4"/>
        <v>9.859999999999999E-3</v>
      </c>
      <c r="G70" s="32">
        <f t="shared" si="5"/>
        <v>5.9159999999999994E-3</v>
      </c>
      <c r="H70" s="15">
        <f t="shared" si="6"/>
        <v>1.5775999999999998E-2</v>
      </c>
      <c r="I70" s="14">
        <f t="shared" si="0"/>
        <v>130360.26096594927</v>
      </c>
      <c r="J70" s="16">
        <f t="shared" si="1"/>
        <v>1402538.6605665027</v>
      </c>
      <c r="K70" s="16">
        <f>SUM(J70:$J$130)</f>
        <v>18482946.817465201</v>
      </c>
      <c r="L70" s="16">
        <f t="shared" si="2"/>
        <v>21481.990203006932</v>
      </c>
      <c r="M70" s="17">
        <f>SUM(L70:$L$130)</f>
        <v>864204.4695453723</v>
      </c>
    </row>
    <row r="71" spans="3:13" x14ac:dyDescent="0.2">
      <c r="C71" s="13">
        <f t="shared" si="7"/>
        <v>61</v>
      </c>
      <c r="D71" s="14">
        <f t="shared" si="3"/>
        <v>8132840.8651718106</v>
      </c>
      <c r="E71" s="15">
        <v>1.094E-2</v>
      </c>
      <c r="F71" s="15">
        <f t="shared" si="4"/>
        <v>1.094E-2</v>
      </c>
      <c r="G71" s="32">
        <f t="shared" si="5"/>
        <v>6.5639999999999995E-3</v>
      </c>
      <c r="H71" s="15">
        <f t="shared" si="6"/>
        <v>1.7503999999999999E-2</v>
      </c>
      <c r="I71" s="14">
        <f t="shared" si="0"/>
        <v>142357.24650396736</v>
      </c>
      <c r="J71" s="16">
        <f t="shared" si="1"/>
        <v>1340206.0297644713</v>
      </c>
      <c r="K71" s="16">
        <f>SUM(J71:$J$130)</f>
        <v>17080408.156898703</v>
      </c>
      <c r="L71" s="16">
        <f t="shared" si="2"/>
        <v>22775.695480579903</v>
      </c>
      <c r="M71" s="17">
        <f>SUM(L71:$L$130)</f>
        <v>842722.4793423654</v>
      </c>
    </row>
    <row r="72" spans="3:13" x14ac:dyDescent="0.2">
      <c r="C72" s="13">
        <f t="shared" si="7"/>
        <v>62</v>
      </c>
      <c r="D72" s="14">
        <f t="shared" si="3"/>
        <v>7990483.6186678428</v>
      </c>
      <c r="E72" s="15">
        <v>1.225E-2</v>
      </c>
      <c r="F72" s="15">
        <f t="shared" si="4"/>
        <v>1.225E-2</v>
      </c>
      <c r="G72" s="32">
        <f t="shared" si="5"/>
        <v>7.3499999999999998E-3</v>
      </c>
      <c r="H72" s="15">
        <f t="shared" si="6"/>
        <v>1.9599999999999999E-2</v>
      </c>
      <c r="I72" s="14">
        <f t="shared" si="0"/>
        <v>156613.47892588971</v>
      </c>
      <c r="J72" s="16">
        <f t="shared" si="1"/>
        <v>1278395.2072033726</v>
      </c>
      <c r="K72" s="16">
        <f>SUM(J72:$J$130)</f>
        <v>15740202.127134232</v>
      </c>
      <c r="L72" s="16">
        <f t="shared" si="2"/>
        <v>24326.743748724377</v>
      </c>
      <c r="M72" s="17">
        <f>SUM(L72:$L$130)</f>
        <v>819946.78386178555</v>
      </c>
    </row>
    <row r="73" spans="3:13" x14ac:dyDescent="0.2">
      <c r="C73" s="13">
        <f t="shared" si="7"/>
        <v>63</v>
      </c>
      <c r="D73" s="14">
        <f t="shared" si="3"/>
        <v>7833870.1397419535</v>
      </c>
      <c r="E73" s="15">
        <v>1.3710000000000002E-2</v>
      </c>
      <c r="F73" s="15">
        <f t="shared" si="4"/>
        <v>1.3710000000000002E-2</v>
      </c>
      <c r="G73" s="32">
        <f t="shared" si="5"/>
        <v>8.2260000000000007E-3</v>
      </c>
      <c r="H73" s="15">
        <f t="shared" si="6"/>
        <v>2.1936000000000004E-2</v>
      </c>
      <c r="I73" s="14">
        <f t="shared" si="0"/>
        <v>171843.77538537953</v>
      </c>
      <c r="J73" s="16">
        <f t="shared" si="1"/>
        <v>1216833.6515943562</v>
      </c>
      <c r="K73" s="16">
        <f>SUM(J73:$J$130)</f>
        <v>14461806.919930859</v>
      </c>
      <c r="L73" s="16">
        <f t="shared" si="2"/>
        <v>25915.012603275532</v>
      </c>
      <c r="M73" s="17">
        <f>SUM(L73:$L$130)</f>
        <v>795620.0401130612</v>
      </c>
    </row>
    <row r="74" spans="3:13" x14ac:dyDescent="0.2">
      <c r="C74" s="13">
        <f t="shared" si="7"/>
        <v>64</v>
      </c>
      <c r="D74" s="14">
        <f t="shared" si="3"/>
        <v>7662026.3643565737</v>
      </c>
      <c r="E74" s="15">
        <v>1.524E-2</v>
      </c>
      <c r="F74" s="15">
        <f t="shared" si="4"/>
        <v>1.524E-2</v>
      </c>
      <c r="G74" s="32">
        <f t="shared" si="5"/>
        <v>9.1439999999999994E-3</v>
      </c>
      <c r="H74" s="15">
        <f t="shared" si="6"/>
        <v>2.4383999999999999E-2</v>
      </c>
      <c r="I74" s="14">
        <f t="shared" ref="I74:I105" si="8">+D74*H74</f>
        <v>186830.85086847068</v>
      </c>
      <c r="J74" s="16">
        <f t="shared" ref="J74:J109" si="9">+D74*(1/(1+$L$6))^C74</f>
        <v>1155476.8821485264</v>
      </c>
      <c r="K74" s="16">
        <f>SUM(J74:$J$130)</f>
        <v>13244973.268336501</v>
      </c>
      <c r="L74" s="16">
        <f t="shared" ref="L74:L108" si="10">+I74*(1/(1.03))^C75</f>
        <v>27354.51290709676</v>
      </c>
      <c r="M74" s="17">
        <f>SUM(L74:$L$130)</f>
        <v>769705.02750978561</v>
      </c>
    </row>
    <row r="75" spans="3:13" x14ac:dyDescent="0.2">
      <c r="C75" s="13">
        <f t="shared" si="7"/>
        <v>65</v>
      </c>
      <c r="D75" s="14">
        <f t="shared" ref="D75:D130" si="11">+D74-(D74*H74)</f>
        <v>7475195.5134881027</v>
      </c>
      <c r="E75" s="15">
        <v>1.685E-2</v>
      </c>
      <c r="F75" s="15">
        <f t="shared" ref="F75:F130" si="12">E75</f>
        <v>1.685E-2</v>
      </c>
      <c r="G75" s="32">
        <f t="shared" ref="G75:G109" si="13">+E75*$G$7</f>
        <v>1.0109999999999999E-2</v>
      </c>
      <c r="H75" s="15">
        <f t="shared" ref="H75:H130" si="14">+E75+G75</f>
        <v>2.6959999999999998E-2</v>
      </c>
      <c r="I75" s="14">
        <f t="shared" si="8"/>
        <v>201531.27104363922</v>
      </c>
      <c r="J75" s="16">
        <f t="shared" si="9"/>
        <v>1094467.7027710842</v>
      </c>
      <c r="K75" s="16">
        <f>SUM(J75:$J$130)</f>
        <v>12089496.386187974</v>
      </c>
      <c r="L75" s="16">
        <f t="shared" si="10"/>
        <v>28647.42647253245</v>
      </c>
      <c r="M75" s="17">
        <f>SUM(L75:$L$130)</f>
        <v>742350.51460268896</v>
      </c>
    </row>
    <row r="76" spans="3:13" x14ac:dyDescent="0.2">
      <c r="C76" s="13">
        <f t="shared" ref="C76:C130" si="15">+C75+1</f>
        <v>66</v>
      </c>
      <c r="D76" s="14">
        <f t="shared" si="11"/>
        <v>7273664.2424444631</v>
      </c>
      <c r="E76" s="15">
        <v>1.847E-2</v>
      </c>
      <c r="F76" s="15">
        <f t="shared" si="12"/>
        <v>1.847E-2</v>
      </c>
      <c r="G76" s="32">
        <f t="shared" si="13"/>
        <v>1.1082E-2</v>
      </c>
      <c r="H76" s="15">
        <f t="shared" si="14"/>
        <v>2.9552000000000002E-2</v>
      </c>
      <c r="I76" s="14">
        <f t="shared" si="8"/>
        <v>214951.32569271879</v>
      </c>
      <c r="J76" s="16">
        <f t="shared" si="9"/>
        <v>1033942.5762178403</v>
      </c>
      <c r="K76" s="16">
        <f>SUM(J76:$J$130)</f>
        <v>10995028.683416892</v>
      </c>
      <c r="L76" s="16">
        <f t="shared" si="10"/>
        <v>29665.117487756914</v>
      </c>
      <c r="M76" s="17">
        <f>SUM(L76:$L$130)</f>
        <v>713703.08813015651</v>
      </c>
    </row>
    <row r="77" spans="3:13" x14ac:dyDescent="0.2">
      <c r="C77" s="13">
        <f t="shared" si="15"/>
        <v>67</v>
      </c>
      <c r="D77" s="14">
        <f t="shared" si="11"/>
        <v>7058712.9167517442</v>
      </c>
      <c r="E77" s="15">
        <v>2.009E-2</v>
      </c>
      <c r="F77" s="15">
        <f t="shared" si="12"/>
        <v>2.009E-2</v>
      </c>
      <c r="G77" s="32">
        <f t="shared" si="13"/>
        <v>1.2054E-2</v>
      </c>
      <c r="H77" s="15">
        <f t="shared" si="14"/>
        <v>3.2143999999999999E-2</v>
      </c>
      <c r="I77" s="14">
        <f t="shared" si="8"/>
        <v>226895.26799606805</v>
      </c>
      <c r="J77" s="16">
        <f t="shared" si="9"/>
        <v>974162.62641305896</v>
      </c>
      <c r="K77" s="16">
        <f>SUM(J77:$J$130)</f>
        <v>9961086.1071990505</v>
      </c>
      <c r="L77" s="16">
        <f t="shared" si="10"/>
        <v>30401.440255748894</v>
      </c>
      <c r="M77" s="17">
        <f>SUM(L77:$L$130)</f>
        <v>684037.97064239962</v>
      </c>
    </row>
    <row r="78" spans="3:13" x14ac:dyDescent="0.2">
      <c r="C78" s="13">
        <f t="shared" si="15"/>
        <v>68</v>
      </c>
      <c r="D78" s="14">
        <f t="shared" si="11"/>
        <v>6831817.6487556761</v>
      </c>
      <c r="E78" s="15">
        <v>2.1850000000000001E-2</v>
      </c>
      <c r="F78" s="15">
        <f t="shared" si="12"/>
        <v>2.1850000000000001E-2</v>
      </c>
      <c r="G78" s="32">
        <f t="shared" si="13"/>
        <v>1.311E-2</v>
      </c>
      <c r="H78" s="15">
        <f t="shared" si="14"/>
        <v>3.4960000000000005E-2</v>
      </c>
      <c r="I78" s="14">
        <f t="shared" si="8"/>
        <v>238840.34500049846</v>
      </c>
      <c r="J78" s="16">
        <f t="shared" si="9"/>
        <v>915387.51742683246</v>
      </c>
      <c r="K78" s="16">
        <f>SUM(J78:$J$130)</f>
        <v>8986923.4807859939</v>
      </c>
      <c r="L78" s="16">
        <f t="shared" si="10"/>
        <v>31069.852047807839</v>
      </c>
      <c r="M78" s="17">
        <f>SUM(L78:$L$130)</f>
        <v>653636.53038665082</v>
      </c>
    </row>
    <row r="79" spans="3:13" x14ac:dyDescent="0.2">
      <c r="C79" s="13">
        <f t="shared" si="15"/>
        <v>69</v>
      </c>
      <c r="D79" s="14">
        <f t="shared" si="11"/>
        <v>6592977.3037551772</v>
      </c>
      <c r="E79" s="15">
        <v>2.3640000000000001E-2</v>
      </c>
      <c r="F79" s="15">
        <f t="shared" si="12"/>
        <v>2.3640000000000001E-2</v>
      </c>
      <c r="G79" s="32">
        <f t="shared" si="13"/>
        <v>1.4184E-2</v>
      </c>
      <c r="H79" s="15">
        <f t="shared" si="14"/>
        <v>3.7824000000000003E-2</v>
      </c>
      <c r="I79" s="14">
        <f t="shared" si="8"/>
        <v>249372.77353723586</v>
      </c>
      <c r="J79" s="16">
        <f t="shared" si="9"/>
        <v>857655.89302678697</v>
      </c>
      <c r="K79" s="16">
        <f>SUM(J79:$J$130)</f>
        <v>8071535.9633591669</v>
      </c>
      <c r="L79" s="16">
        <f t="shared" si="10"/>
        <v>31495.122813441929</v>
      </c>
      <c r="M79" s="17">
        <f>SUM(L79:$L$130)</f>
        <v>622566.67833884293</v>
      </c>
    </row>
    <row r="80" spans="3:13" x14ac:dyDescent="0.2">
      <c r="C80" s="13">
        <f t="shared" si="15"/>
        <v>70</v>
      </c>
      <c r="D80" s="14">
        <f t="shared" si="11"/>
        <v>6343604.5302179409</v>
      </c>
      <c r="E80" s="15">
        <v>2.5770000000000001E-2</v>
      </c>
      <c r="F80" s="15">
        <f t="shared" si="12"/>
        <v>2.5770000000000001E-2</v>
      </c>
      <c r="G80" s="32">
        <f t="shared" si="13"/>
        <v>1.5462E-2</v>
      </c>
      <c r="H80" s="15">
        <f t="shared" si="14"/>
        <v>4.1232000000000005E-2</v>
      </c>
      <c r="I80" s="14">
        <f t="shared" si="8"/>
        <v>261559.50198994618</v>
      </c>
      <c r="J80" s="16">
        <f t="shared" si="9"/>
        <v>801180.50148440921</v>
      </c>
      <c r="K80" s="16">
        <f>SUM(J80:$J$130)</f>
        <v>7213880.0703323791</v>
      </c>
      <c r="L80" s="16">
        <f t="shared" si="10"/>
        <v>32072.111104082691</v>
      </c>
      <c r="M80" s="17">
        <f>SUM(L80:$L$130)</f>
        <v>591071.55552540103</v>
      </c>
    </row>
    <row r="81" spans="3:13" x14ac:dyDescent="0.2">
      <c r="C81" s="13">
        <f t="shared" si="15"/>
        <v>71</v>
      </c>
      <c r="D81" s="14">
        <f t="shared" si="11"/>
        <v>6082045.0282279951</v>
      </c>
      <c r="E81" s="15">
        <v>2.8149999999999998E-2</v>
      </c>
      <c r="F81" s="15">
        <f t="shared" si="12"/>
        <v>2.8149999999999998E-2</v>
      </c>
      <c r="G81" s="32">
        <f t="shared" si="13"/>
        <v>1.6889999999999999E-2</v>
      </c>
      <c r="H81" s="15">
        <f t="shared" si="14"/>
        <v>4.5039999999999997E-2</v>
      </c>
      <c r="I81" s="14">
        <f t="shared" si="8"/>
        <v>273935.30807138886</v>
      </c>
      <c r="J81" s="16">
        <f t="shared" si="9"/>
        <v>745773.03596815944</v>
      </c>
      <c r="K81" s="16">
        <f>SUM(J81:$J$130)</f>
        <v>6412699.5688479682</v>
      </c>
      <c r="L81" s="16">
        <f t="shared" si="10"/>
        <v>32611.279165054268</v>
      </c>
      <c r="M81" s="17">
        <f>SUM(L81:$L$130)</f>
        <v>558999.44442131848</v>
      </c>
    </row>
    <row r="82" spans="3:13" x14ac:dyDescent="0.2">
      <c r="C82" s="13">
        <f t="shared" si="15"/>
        <v>72</v>
      </c>
      <c r="D82" s="14">
        <f t="shared" si="11"/>
        <v>5808109.7201566063</v>
      </c>
      <c r="E82" s="15">
        <v>3.1320000000000001E-2</v>
      </c>
      <c r="F82" s="15">
        <f t="shared" si="12"/>
        <v>3.1320000000000001E-2</v>
      </c>
      <c r="G82" s="32">
        <f t="shared" si="13"/>
        <v>1.8792E-2</v>
      </c>
      <c r="H82" s="15">
        <f t="shared" si="14"/>
        <v>5.0112000000000004E-2</v>
      </c>
      <c r="I82" s="14">
        <f t="shared" si="8"/>
        <v>291055.99429648789</v>
      </c>
      <c r="J82" s="16">
        <f t="shared" si="9"/>
        <v>691440.21206616843</v>
      </c>
      <c r="K82" s="16">
        <f>SUM(J82:$J$130)</f>
        <v>5666926.5328798098</v>
      </c>
      <c r="L82" s="16">
        <f t="shared" si="10"/>
        <v>33640.244569961003</v>
      </c>
      <c r="M82" s="17">
        <f>SUM(L82:$L$130)</f>
        <v>526388.16525626404</v>
      </c>
    </row>
    <row r="83" spans="3:13" x14ac:dyDescent="0.2">
      <c r="C83" s="13">
        <f t="shared" si="15"/>
        <v>73</v>
      </c>
      <c r="D83" s="14">
        <f t="shared" si="11"/>
        <v>5517053.7258601189</v>
      </c>
      <c r="E83" s="15">
        <v>3.4619999999999998E-2</v>
      </c>
      <c r="F83" s="15">
        <f t="shared" si="12"/>
        <v>3.4619999999999998E-2</v>
      </c>
      <c r="G83" s="32">
        <f t="shared" si="13"/>
        <v>2.0771999999999999E-2</v>
      </c>
      <c r="H83" s="15">
        <f t="shared" si="14"/>
        <v>5.5391999999999997E-2</v>
      </c>
      <c r="I83" s="14">
        <f t="shared" si="8"/>
        <v>305600.63998284371</v>
      </c>
      <c r="J83" s="16">
        <f t="shared" si="9"/>
        <v>637660.93219330942</v>
      </c>
      <c r="K83" s="16">
        <f>SUM(J83:$J$130)</f>
        <v>4975486.3208136419</v>
      </c>
      <c r="L83" s="16">
        <f t="shared" si="10"/>
        <v>34292.538209759019</v>
      </c>
      <c r="M83" s="17">
        <f>SUM(L83:$L$130)</f>
        <v>492747.92068630323</v>
      </c>
    </row>
    <row r="84" spans="3:13" x14ac:dyDescent="0.2">
      <c r="C84" s="13">
        <f t="shared" si="15"/>
        <v>74</v>
      </c>
      <c r="D84" s="14">
        <f t="shared" si="11"/>
        <v>5211453.0858772751</v>
      </c>
      <c r="E84" s="15">
        <v>3.8079999999999996E-2</v>
      </c>
      <c r="F84" s="15">
        <f t="shared" si="12"/>
        <v>3.8079999999999996E-2</v>
      </c>
      <c r="G84" s="32">
        <f t="shared" si="13"/>
        <v>2.2847999999999997E-2</v>
      </c>
      <c r="H84" s="15">
        <f t="shared" si="14"/>
        <v>6.0927999999999996E-2</v>
      </c>
      <c r="I84" s="14">
        <f t="shared" si="8"/>
        <v>317523.4136163306</v>
      </c>
      <c r="J84" s="16">
        <f t="shared" si="9"/>
        <v>584795.74547306565</v>
      </c>
      <c r="K84" s="16">
        <f>SUM(J84:$J$130)</f>
        <v>4337825.3886203319</v>
      </c>
      <c r="L84" s="16">
        <f t="shared" si="10"/>
        <v>34592.65551474072</v>
      </c>
      <c r="M84" s="17">
        <f>SUM(L84:$L$130)</f>
        <v>458455.38247654418</v>
      </c>
    </row>
    <row r="85" spans="3:13" x14ac:dyDescent="0.2">
      <c r="C85" s="13">
        <f t="shared" si="15"/>
        <v>75</v>
      </c>
      <c r="D85" s="14">
        <f t="shared" si="11"/>
        <v>4893929.6722609447</v>
      </c>
      <c r="E85" s="15">
        <v>4.1909999999999996E-2</v>
      </c>
      <c r="F85" s="15">
        <f t="shared" si="12"/>
        <v>4.1909999999999996E-2</v>
      </c>
      <c r="G85" s="32">
        <f t="shared" si="13"/>
        <v>2.5145999999999998E-2</v>
      </c>
      <c r="H85" s="15">
        <f t="shared" si="14"/>
        <v>6.7055999999999991E-2</v>
      </c>
      <c r="I85" s="14">
        <f t="shared" si="8"/>
        <v>328167.34810312989</v>
      </c>
      <c r="J85" s="16">
        <f t="shared" si="9"/>
        <v>533170.20416784729</v>
      </c>
      <c r="K85" s="16">
        <f>SUM(J85:$J$130)</f>
        <v>3753029.6431472674</v>
      </c>
      <c r="L85" s="16">
        <f t="shared" si="10"/>
        <v>34710.933214251614</v>
      </c>
      <c r="M85" s="17">
        <f>SUM(L85:$L$130)</f>
        <v>423862.72696180345</v>
      </c>
    </row>
    <row r="86" spans="3:13" x14ac:dyDescent="0.2">
      <c r="C86" s="13">
        <f t="shared" si="15"/>
        <v>76</v>
      </c>
      <c r="D86" s="14">
        <f t="shared" si="11"/>
        <v>4565762.3241578145</v>
      </c>
      <c r="E86" s="15">
        <v>4.6079999999999996E-2</v>
      </c>
      <c r="F86" s="15">
        <f t="shared" si="12"/>
        <v>4.6079999999999996E-2</v>
      </c>
      <c r="G86" s="32">
        <f t="shared" si="13"/>
        <v>2.7647999999999995E-2</v>
      </c>
      <c r="H86" s="15">
        <f t="shared" si="14"/>
        <v>7.3727999999999988E-2</v>
      </c>
      <c r="I86" s="14">
        <f t="shared" si="8"/>
        <v>336624.52463550732</v>
      </c>
      <c r="J86" s="16">
        <f t="shared" si="9"/>
        <v>482930.04170598841</v>
      </c>
      <c r="K86" s="16">
        <f>SUM(J86:$J$130)</f>
        <v>3219859.4389794199</v>
      </c>
      <c r="L86" s="16">
        <f t="shared" si="10"/>
        <v>34568.413703785547</v>
      </c>
      <c r="M86" s="17">
        <f>SUM(L86:$L$130)</f>
        <v>389151.79374755191</v>
      </c>
    </row>
    <row r="87" spans="3:13" x14ac:dyDescent="0.2">
      <c r="C87" s="13">
        <f t="shared" si="15"/>
        <v>77</v>
      </c>
      <c r="D87" s="14">
        <f t="shared" si="11"/>
        <v>4229137.7995223068</v>
      </c>
      <c r="E87" s="15">
        <v>5.092E-2</v>
      </c>
      <c r="F87" s="15">
        <f t="shared" si="12"/>
        <v>5.092E-2</v>
      </c>
      <c r="G87" s="32">
        <f t="shared" si="13"/>
        <v>3.0551999999999999E-2</v>
      </c>
      <c r="H87" s="15">
        <f t="shared" si="14"/>
        <v>8.1472000000000003E-2</v>
      </c>
      <c r="I87" s="14">
        <f t="shared" si="8"/>
        <v>344556.31480268139</v>
      </c>
      <c r="J87" s="16">
        <f t="shared" si="9"/>
        <v>434295.70445736824</v>
      </c>
      <c r="K87" s="16">
        <f>SUM(J87:$J$130)</f>
        <v>2736929.3972734315</v>
      </c>
      <c r="L87" s="16">
        <f t="shared" si="10"/>
        <v>34352.368576262823</v>
      </c>
      <c r="M87" s="17">
        <f>SUM(L87:$L$130)</f>
        <v>354583.38004376634</v>
      </c>
    </row>
    <row r="88" spans="3:13" x14ac:dyDescent="0.2">
      <c r="C88" s="13">
        <f t="shared" si="15"/>
        <v>78</v>
      </c>
      <c r="D88" s="14">
        <f t="shared" si="11"/>
        <v>3884581.4847196252</v>
      </c>
      <c r="E88" s="15">
        <v>5.6559999999999999E-2</v>
      </c>
      <c r="F88" s="15">
        <f t="shared" si="12"/>
        <v>5.6559999999999999E-2</v>
      </c>
      <c r="G88" s="32">
        <f t="shared" si="13"/>
        <v>3.3936000000000001E-2</v>
      </c>
      <c r="H88" s="15">
        <f t="shared" si="14"/>
        <v>9.0495999999999993E-2</v>
      </c>
      <c r="I88" s="14">
        <f t="shared" si="8"/>
        <v>351539.08604118717</v>
      </c>
      <c r="J88" s="16">
        <f t="shared" si="9"/>
        <v>387293.94643089076</v>
      </c>
      <c r="K88" s="16">
        <f>SUM(J88:$J$130)</f>
        <v>2302633.6928160633</v>
      </c>
      <c r="L88" s="16">
        <f t="shared" si="10"/>
        <v>34027.721336126109</v>
      </c>
      <c r="M88" s="17">
        <f>SUM(L88:$L$130)</f>
        <v>320231.0114675035</v>
      </c>
    </row>
    <row r="89" spans="3:13" x14ac:dyDescent="0.2">
      <c r="C89" s="13">
        <f t="shared" si="15"/>
        <v>79</v>
      </c>
      <c r="D89" s="14">
        <f t="shared" si="11"/>
        <v>3533042.3986784378</v>
      </c>
      <c r="E89" s="15">
        <v>6.3060000000000005E-2</v>
      </c>
      <c r="F89" s="15">
        <f t="shared" si="12"/>
        <v>6.3060000000000005E-2</v>
      </c>
      <c r="G89" s="32">
        <f t="shared" si="13"/>
        <v>3.7836000000000002E-2</v>
      </c>
      <c r="H89" s="15">
        <f t="shared" si="14"/>
        <v>0.10089600000000001</v>
      </c>
      <c r="I89" s="14">
        <f t="shared" si="8"/>
        <v>356469.8458570597</v>
      </c>
      <c r="J89" s="16">
        <f t="shared" si="9"/>
        <v>341985.81888803974</v>
      </c>
      <c r="K89" s="16">
        <f>SUM(J89:$J$130)</f>
        <v>1915339.7463851715</v>
      </c>
      <c r="L89" s="16">
        <f t="shared" si="10"/>
        <v>33500.001148085103</v>
      </c>
      <c r="M89" s="17">
        <f>SUM(L89:$L$130)</f>
        <v>286203.29013137741</v>
      </c>
    </row>
    <row r="90" spans="3:13" x14ac:dyDescent="0.2">
      <c r="C90" s="13">
        <f t="shared" si="15"/>
        <v>80</v>
      </c>
      <c r="D90" s="14">
        <f t="shared" si="11"/>
        <v>3176572.5528213782</v>
      </c>
      <c r="E90" s="15">
        <v>7.0139999999999994E-2</v>
      </c>
      <c r="F90" s="15">
        <f t="shared" si="12"/>
        <v>7.0139999999999994E-2</v>
      </c>
      <c r="G90" s="32">
        <f t="shared" si="13"/>
        <v>4.2083999999999996E-2</v>
      </c>
      <c r="H90" s="15">
        <f t="shared" si="14"/>
        <v>0.11222399999999999</v>
      </c>
      <c r="I90" s="14">
        <f t="shared" si="8"/>
        <v>356487.67816782632</v>
      </c>
      <c r="J90" s="16">
        <f t="shared" si="9"/>
        <v>298525.06573350681</v>
      </c>
      <c r="K90" s="16">
        <f>SUM(J90:$J$130)</f>
        <v>1573353.927497132</v>
      </c>
      <c r="L90" s="16">
        <f t="shared" si="10"/>
        <v>32525.899977550547</v>
      </c>
      <c r="M90" s="17">
        <f>SUM(L90:$L$130)</f>
        <v>252703.2889832923</v>
      </c>
    </row>
    <row r="91" spans="3:13" x14ac:dyDescent="0.2">
      <c r="C91" s="13">
        <f t="shared" si="15"/>
        <v>81</v>
      </c>
      <c r="D91" s="14">
        <f t="shared" si="11"/>
        <v>2820084.8746535517</v>
      </c>
      <c r="E91" s="15">
        <v>7.8189999999999996E-2</v>
      </c>
      <c r="F91" s="15">
        <f t="shared" si="12"/>
        <v>7.8189999999999996E-2</v>
      </c>
      <c r="G91" s="32">
        <f t="shared" si="13"/>
        <v>4.6913999999999997E-2</v>
      </c>
      <c r="H91" s="15">
        <f t="shared" si="14"/>
        <v>0.12510399999999999</v>
      </c>
      <c r="I91" s="14">
        <f t="shared" si="8"/>
        <v>352803.89815865789</v>
      </c>
      <c r="J91" s="16">
        <f t="shared" si="9"/>
        <v>257304.26092876671</v>
      </c>
      <c r="K91" s="16">
        <f>SUM(J91:$J$130)</f>
        <v>1274828.8617636254</v>
      </c>
      <c r="L91" s="16">
        <f t="shared" si="10"/>
        <v>31252.225494400413</v>
      </c>
      <c r="M91" s="17">
        <f>SUM(L91:$L$130)</f>
        <v>220177.38900574177</v>
      </c>
    </row>
    <row r="92" spans="3:13" x14ac:dyDescent="0.2">
      <c r="C92" s="13">
        <f t="shared" si="15"/>
        <v>82</v>
      </c>
      <c r="D92" s="14">
        <f t="shared" si="11"/>
        <v>2467280.9764948939</v>
      </c>
      <c r="E92" s="15">
        <v>8.6540000000000006E-2</v>
      </c>
      <c r="F92" s="15">
        <f t="shared" si="12"/>
        <v>8.6540000000000006E-2</v>
      </c>
      <c r="G92" s="32">
        <f t="shared" si="13"/>
        <v>5.1924000000000005E-2</v>
      </c>
      <c r="H92" s="15">
        <f t="shared" si="14"/>
        <v>0.138464</v>
      </c>
      <c r="I92" s="14">
        <f t="shared" si="8"/>
        <v>341629.59312938899</v>
      </c>
      <c r="J92" s="16">
        <f t="shared" si="9"/>
        <v>218557.73657236338</v>
      </c>
      <c r="K92" s="16">
        <f>SUM(J92:$J$130)</f>
        <v>1017524.6008348592</v>
      </c>
      <c r="L92" s="16">
        <f t="shared" si="10"/>
        <v>29380.949938597791</v>
      </c>
      <c r="M92" s="17">
        <f>SUM(L92:$L$130)</f>
        <v>188925.16351134135</v>
      </c>
    </row>
    <row r="93" spans="3:13" x14ac:dyDescent="0.2">
      <c r="C93" s="13">
        <f t="shared" si="15"/>
        <v>83</v>
      </c>
      <c r="D93" s="14">
        <f t="shared" si="11"/>
        <v>2125651.3833655049</v>
      </c>
      <c r="E93" s="15">
        <v>9.5510000000000012E-2</v>
      </c>
      <c r="F93" s="15">
        <f t="shared" si="12"/>
        <v>9.5510000000000012E-2</v>
      </c>
      <c r="G93" s="32">
        <f t="shared" si="13"/>
        <v>5.7306000000000003E-2</v>
      </c>
      <c r="H93" s="15">
        <f t="shared" si="14"/>
        <v>0.15281600000000001</v>
      </c>
      <c r="I93" s="14">
        <f t="shared" si="8"/>
        <v>324833.54180038301</v>
      </c>
      <c r="J93" s="16">
        <f t="shared" si="9"/>
        <v>182811.02731612395</v>
      </c>
      <c r="K93" s="16">
        <f>SUM(J93:$J$130)</f>
        <v>798966.86426249577</v>
      </c>
      <c r="L93" s="16">
        <f t="shared" si="10"/>
        <v>27122.766942078444</v>
      </c>
      <c r="M93" s="17">
        <f>SUM(L93:$L$130)</f>
        <v>159544.21357274355</v>
      </c>
    </row>
    <row r="94" spans="3:13" x14ac:dyDescent="0.2">
      <c r="C94" s="13">
        <f t="shared" si="15"/>
        <v>84</v>
      </c>
      <c r="D94" s="14">
        <f t="shared" si="11"/>
        <v>1800817.8415651219</v>
      </c>
      <c r="E94" s="15">
        <v>0.10543000000000001</v>
      </c>
      <c r="F94" s="15">
        <f t="shared" si="12"/>
        <v>0.10543000000000001</v>
      </c>
      <c r="G94" s="32">
        <f t="shared" si="13"/>
        <v>6.3258000000000009E-2</v>
      </c>
      <c r="H94" s="15">
        <f t="shared" si="14"/>
        <v>0.168688</v>
      </c>
      <c r="I94" s="14">
        <f t="shared" si="8"/>
        <v>303776.36005793727</v>
      </c>
      <c r="J94" s="16">
        <f t="shared" si="9"/>
        <v>150363.66734542054</v>
      </c>
      <c r="K94" s="16">
        <f>SUM(J94:$J$130)</f>
        <v>616155.83694637183</v>
      </c>
      <c r="L94" s="16">
        <f t="shared" si="10"/>
        <v>24625.773123460483</v>
      </c>
      <c r="M94" s="17">
        <f>SUM(L94:$L$130)</f>
        <v>132421.44663066516</v>
      </c>
    </row>
    <row r="95" spans="3:13" x14ac:dyDescent="0.2">
      <c r="C95" s="13">
        <f t="shared" si="15"/>
        <v>85</v>
      </c>
      <c r="D95" s="14">
        <f t="shared" si="11"/>
        <v>1497041.4815071847</v>
      </c>
      <c r="E95" s="15">
        <v>0.11656999999999999</v>
      </c>
      <c r="F95" s="15">
        <f t="shared" si="12"/>
        <v>0.11656999999999999</v>
      </c>
      <c r="G95" s="32">
        <f t="shared" si="13"/>
        <v>6.994199999999999E-2</v>
      </c>
      <c r="H95" s="15">
        <f t="shared" si="14"/>
        <v>0.18651199999999998</v>
      </c>
      <c r="I95" s="14">
        <f t="shared" si="8"/>
        <v>279216.20079886803</v>
      </c>
      <c r="J95" s="16">
        <f t="shared" si="9"/>
        <v>121358.36993034587</v>
      </c>
      <c r="K95" s="16">
        <f>SUM(J95:$J$130)</f>
        <v>465792.16960095114</v>
      </c>
      <c r="L95" s="16">
        <f t="shared" si="10"/>
        <v>21975.52649752298</v>
      </c>
      <c r="M95" s="17">
        <f>SUM(L95:$L$130)</f>
        <v>107795.67350720464</v>
      </c>
    </row>
    <row r="96" spans="3:13" x14ac:dyDescent="0.2">
      <c r="C96" s="13">
        <f t="shared" si="15"/>
        <v>86</v>
      </c>
      <c r="D96" s="14">
        <f t="shared" si="11"/>
        <v>1217825.2807083167</v>
      </c>
      <c r="E96" s="15">
        <v>0.12891</v>
      </c>
      <c r="F96" s="15">
        <f t="shared" si="12"/>
        <v>0.12891</v>
      </c>
      <c r="G96" s="32">
        <f t="shared" si="13"/>
        <v>7.7345999999999998E-2</v>
      </c>
      <c r="H96" s="15">
        <f t="shared" si="14"/>
        <v>0.20625599999999999</v>
      </c>
      <c r="I96" s="14">
        <f t="shared" si="8"/>
        <v>251183.77109777456</v>
      </c>
      <c r="J96" s="16">
        <f t="shared" si="9"/>
        <v>95848.133629026415</v>
      </c>
      <c r="K96" s="16">
        <f>SUM(J96:$J$130)</f>
        <v>344433.79967060522</v>
      </c>
      <c r="L96" s="16">
        <f t="shared" si="10"/>
        <v>19193.449174551912</v>
      </c>
      <c r="M96" s="17">
        <f>SUM(L96:$L$130)</f>
        <v>85820.147009681648</v>
      </c>
    </row>
    <row r="97" spans="3:13" x14ac:dyDescent="0.2">
      <c r="C97" s="13">
        <f t="shared" si="15"/>
        <v>87</v>
      </c>
      <c r="D97" s="14">
        <f t="shared" si="11"/>
        <v>966641.5096105421</v>
      </c>
      <c r="E97" s="15">
        <v>0.14235</v>
      </c>
      <c r="F97" s="15">
        <f t="shared" si="12"/>
        <v>0.14235</v>
      </c>
      <c r="G97" s="32">
        <f t="shared" si="13"/>
        <v>8.541E-2</v>
      </c>
      <c r="H97" s="15">
        <f t="shared" si="14"/>
        <v>0.22776000000000002</v>
      </c>
      <c r="I97" s="14">
        <f t="shared" si="8"/>
        <v>220162.27022889708</v>
      </c>
      <c r="J97" s="16">
        <f t="shared" si="9"/>
        <v>73862.991241978583</v>
      </c>
      <c r="K97" s="16">
        <f>SUM(J97:$J$130)</f>
        <v>248585.66604157878</v>
      </c>
      <c r="L97" s="16">
        <f t="shared" si="10"/>
        <v>16333.043577934992</v>
      </c>
      <c r="M97" s="17">
        <f>SUM(L97:$L$130)</f>
        <v>66626.697835129744</v>
      </c>
    </row>
    <row r="98" spans="3:13" x14ac:dyDescent="0.2">
      <c r="C98" s="13">
        <f t="shared" si="15"/>
        <v>88</v>
      </c>
      <c r="D98" s="14">
        <f t="shared" si="11"/>
        <v>746479.23938164499</v>
      </c>
      <c r="E98" s="15">
        <v>0.15672999999999998</v>
      </c>
      <c r="F98" s="15">
        <f t="shared" si="12"/>
        <v>0.15672999999999998</v>
      </c>
      <c r="G98" s="32">
        <f t="shared" si="13"/>
        <v>9.4037999999999983E-2</v>
      </c>
      <c r="H98" s="15">
        <f t="shared" si="14"/>
        <v>0.25076799999999999</v>
      </c>
      <c r="I98" s="14">
        <f t="shared" si="8"/>
        <v>187193.10590125635</v>
      </c>
      <c r="J98" s="16">
        <f t="shared" si="9"/>
        <v>55378.598404568482</v>
      </c>
      <c r="K98" s="16">
        <f>SUM(J98:$J$130)</f>
        <v>174722.67479960024</v>
      </c>
      <c r="L98" s="16">
        <f t="shared" si="10"/>
        <v>13482.699383220221</v>
      </c>
      <c r="M98" s="17">
        <f>SUM(L98:$L$130)</f>
        <v>50293.654257194721</v>
      </c>
    </row>
    <row r="99" spans="3:13" x14ac:dyDescent="0.2">
      <c r="C99" s="13">
        <f t="shared" si="15"/>
        <v>89</v>
      </c>
      <c r="D99" s="14">
        <f t="shared" si="11"/>
        <v>559286.13348038867</v>
      </c>
      <c r="E99" s="15">
        <v>0.17188000000000001</v>
      </c>
      <c r="F99" s="15">
        <f t="shared" si="12"/>
        <v>0.17188000000000001</v>
      </c>
      <c r="G99" s="32">
        <f t="shared" si="13"/>
        <v>0.103128</v>
      </c>
      <c r="H99" s="15">
        <f t="shared" si="14"/>
        <v>0.27500800000000003</v>
      </c>
      <c r="I99" s="14">
        <f t="shared" si="8"/>
        <v>153808.16099617473</v>
      </c>
      <c r="J99" s="16">
        <f t="shared" si="9"/>
        <v>40282.930135778304</v>
      </c>
      <c r="K99" s="16">
        <f>SUM(J99:$J$130)</f>
        <v>119344.07639503179</v>
      </c>
      <c r="L99" s="16">
        <f t="shared" si="10"/>
        <v>10755.46412697099</v>
      </c>
      <c r="M99" s="17">
        <f>SUM(L99:$L$130)</f>
        <v>36810.954873974501</v>
      </c>
    </row>
    <row r="100" spans="3:13" x14ac:dyDescent="0.2">
      <c r="C100" s="13">
        <f t="shared" si="15"/>
        <v>90</v>
      </c>
      <c r="D100" s="14">
        <f t="shared" si="11"/>
        <v>405477.97248421394</v>
      </c>
      <c r="E100" s="15">
        <v>0.18765999999999999</v>
      </c>
      <c r="F100" s="15">
        <f t="shared" si="12"/>
        <v>0.18765999999999999</v>
      </c>
      <c r="G100" s="32">
        <f t="shared" si="13"/>
        <v>0.11259599999999999</v>
      </c>
      <c r="H100" s="15">
        <f t="shared" si="14"/>
        <v>0.30025599999999997</v>
      </c>
      <c r="I100" s="14">
        <f t="shared" si="8"/>
        <v>121747.19410622012</v>
      </c>
      <c r="J100" s="16">
        <f t="shared" si="9"/>
        <v>28354.176781551632</v>
      </c>
      <c r="K100" s="16">
        <f>SUM(J100:$J$130)</f>
        <v>79061.146259253481</v>
      </c>
      <c r="L100" s="16">
        <f t="shared" si="10"/>
        <v>8265.5453434189967</v>
      </c>
      <c r="M100" s="17">
        <f>SUM(L100:$L$130)</f>
        <v>26055.490747003492</v>
      </c>
    </row>
    <row r="101" spans="3:13" x14ac:dyDescent="0.2">
      <c r="C101" s="13">
        <f t="shared" si="15"/>
        <v>91</v>
      </c>
      <c r="D101" s="14">
        <f t="shared" si="11"/>
        <v>283730.77837799385</v>
      </c>
      <c r="E101" s="15">
        <v>0.20244000000000001</v>
      </c>
      <c r="F101" s="15">
        <f t="shared" si="12"/>
        <v>0.20244000000000001</v>
      </c>
      <c r="G101" s="32">
        <f t="shared" si="13"/>
        <v>0.121464</v>
      </c>
      <c r="H101" s="15">
        <f t="shared" si="14"/>
        <v>0.32390400000000003</v>
      </c>
      <c r="I101" s="14">
        <f t="shared" si="8"/>
        <v>91901.534039745733</v>
      </c>
      <c r="J101" s="16">
        <f t="shared" si="9"/>
        <v>19262.781628961235</v>
      </c>
      <c r="K101" s="16">
        <f>SUM(J101:$J$130)</f>
        <v>50706.969477701801</v>
      </c>
      <c r="L101" s="16">
        <f t="shared" si="10"/>
        <v>6057.5650686864674</v>
      </c>
      <c r="M101" s="17">
        <f>SUM(L101:$L$130)</f>
        <v>17789.945403584501</v>
      </c>
    </row>
    <row r="102" spans="3:13" x14ac:dyDescent="0.2">
      <c r="C102" s="13">
        <f t="shared" si="15"/>
        <v>92</v>
      </c>
      <c r="D102" s="14">
        <f t="shared" si="11"/>
        <v>191829.2443382481</v>
      </c>
      <c r="E102" s="15">
        <v>0.21783000000000002</v>
      </c>
      <c r="F102" s="15">
        <f t="shared" si="12"/>
        <v>0.21783000000000002</v>
      </c>
      <c r="G102" s="32">
        <f t="shared" si="13"/>
        <v>0.13069800000000001</v>
      </c>
      <c r="H102" s="15">
        <f t="shared" si="14"/>
        <v>0.34852800000000006</v>
      </c>
      <c r="I102" s="14">
        <f t="shared" si="8"/>
        <v>66857.862870720943</v>
      </c>
      <c r="J102" s="16">
        <f t="shared" si="9"/>
        <v>12644.1646681691</v>
      </c>
      <c r="K102" s="16">
        <f>SUM(J102:$J$130)</f>
        <v>31444.187848740577</v>
      </c>
      <c r="L102" s="16">
        <f t="shared" si="10"/>
        <v>4278.4907023957676</v>
      </c>
      <c r="M102" s="17">
        <f>SUM(L102:$L$130)</f>
        <v>11732.380334898047</v>
      </c>
    </row>
    <row r="103" spans="3:13" x14ac:dyDescent="0.2">
      <c r="C103" s="13">
        <f t="shared" si="15"/>
        <v>93</v>
      </c>
      <c r="D103" s="14">
        <f t="shared" si="11"/>
        <v>124971.38146752716</v>
      </c>
      <c r="E103" s="15">
        <v>0.23404</v>
      </c>
      <c r="F103" s="15">
        <f t="shared" si="12"/>
        <v>0.23404</v>
      </c>
      <c r="G103" s="32">
        <f t="shared" si="13"/>
        <v>0.14042399999999999</v>
      </c>
      <c r="H103" s="15">
        <f t="shared" si="14"/>
        <v>0.37446400000000002</v>
      </c>
      <c r="I103" s="14">
        <f t="shared" si="8"/>
        <v>46797.283389856093</v>
      </c>
      <c r="J103" s="16">
        <f t="shared" si="9"/>
        <v>7997.3973249528726</v>
      </c>
      <c r="K103" s="16">
        <f>SUM(J103:$J$130)</f>
        <v>18800.023180571472</v>
      </c>
      <c r="L103" s="16">
        <f t="shared" si="10"/>
        <v>2907.5120309622844</v>
      </c>
      <c r="M103" s="17">
        <f>SUM(L103:$L$130)</f>
        <v>7453.889632502277</v>
      </c>
    </row>
    <row r="104" spans="3:13" x14ac:dyDescent="0.2">
      <c r="C104" s="13">
        <f t="shared" si="15"/>
        <v>94</v>
      </c>
      <c r="D104" s="14">
        <f t="shared" si="11"/>
        <v>78174.098077671064</v>
      </c>
      <c r="E104" s="15">
        <v>0.25113999999999997</v>
      </c>
      <c r="F104" s="15">
        <f t="shared" si="12"/>
        <v>0.25113999999999997</v>
      </c>
      <c r="G104" s="32">
        <f t="shared" si="13"/>
        <v>0.15068399999999998</v>
      </c>
      <c r="H104" s="15">
        <f t="shared" si="14"/>
        <v>0.40182399999999996</v>
      </c>
      <c r="I104" s="14">
        <f t="shared" si="8"/>
        <v>31412.228785962096</v>
      </c>
      <c r="J104" s="16">
        <f t="shared" si="9"/>
        <v>4856.951391322058</v>
      </c>
      <c r="K104" s="16">
        <f>SUM(J104:$J$130)</f>
        <v>10802.6258556186</v>
      </c>
      <c r="L104" s="16">
        <f t="shared" si="10"/>
        <v>1894.7957629772764</v>
      </c>
      <c r="M104" s="17">
        <f>SUM(L104:$L$130)</f>
        <v>4546.3776015399926</v>
      </c>
    </row>
    <row r="105" spans="3:13" x14ac:dyDescent="0.2">
      <c r="C105" s="13">
        <f t="shared" si="15"/>
        <v>95</v>
      </c>
      <c r="D105" s="14">
        <f t="shared" si="11"/>
        <v>46761.869291708965</v>
      </c>
      <c r="E105" s="15">
        <v>0.26917000000000002</v>
      </c>
      <c r="F105" s="15">
        <f t="shared" si="12"/>
        <v>0.26917000000000002</v>
      </c>
      <c r="G105" s="32">
        <f t="shared" si="13"/>
        <v>0.16150200000000001</v>
      </c>
      <c r="H105" s="15">
        <f t="shared" si="14"/>
        <v>0.43067200000000005</v>
      </c>
      <c r="I105" s="14">
        <f t="shared" si="8"/>
        <v>20139.027771598885</v>
      </c>
      <c r="J105" s="16">
        <f t="shared" si="9"/>
        <v>2820.6910247140422</v>
      </c>
      <c r="K105" s="16">
        <f>SUM(J105:$J$130)</f>
        <v>5945.6744642965441</v>
      </c>
      <c r="L105" s="16">
        <f t="shared" si="10"/>
        <v>1179.4103349472291</v>
      </c>
      <c r="M105" s="17">
        <f>SUM(L105:$L$130)</f>
        <v>2651.5818385627181</v>
      </c>
    </row>
    <row r="106" spans="3:13" x14ac:dyDescent="0.2">
      <c r="C106" s="13">
        <f t="shared" si="15"/>
        <v>96</v>
      </c>
      <c r="D106" s="14">
        <f t="shared" si="11"/>
        <v>26622.84152011008</v>
      </c>
      <c r="E106" s="15">
        <v>0.28564000000000001</v>
      </c>
      <c r="F106" s="15">
        <f t="shared" si="12"/>
        <v>0.28564000000000001</v>
      </c>
      <c r="G106" s="32">
        <f t="shared" si="13"/>
        <v>0.17138400000000001</v>
      </c>
      <c r="H106" s="15">
        <f t="shared" si="14"/>
        <v>0.45702399999999999</v>
      </c>
      <c r="I106" s="14">
        <f>+D106*H106</f>
        <v>12167.277522886789</v>
      </c>
      <c r="J106" s="16">
        <f t="shared" si="9"/>
        <v>1559.1246405032971</v>
      </c>
      <c r="K106" s="16">
        <f>SUM(J106:$J$130)</f>
        <v>3124.9834395825046</v>
      </c>
      <c r="L106" s="16">
        <f t="shared" si="10"/>
        <v>691.80328126347445</v>
      </c>
      <c r="M106" s="17">
        <f>SUM(L106:$L$130)</f>
        <v>1472.1715036154883</v>
      </c>
    </row>
    <row r="107" spans="3:13" x14ac:dyDescent="0.2">
      <c r="C107" s="13">
        <f t="shared" si="15"/>
        <v>97</v>
      </c>
      <c r="D107" s="14">
        <f t="shared" si="11"/>
        <v>14455.563997223291</v>
      </c>
      <c r="E107" s="15">
        <v>0.30318000000000001</v>
      </c>
      <c r="F107" s="15">
        <f t="shared" si="12"/>
        <v>0.30318000000000001</v>
      </c>
      <c r="G107" s="32">
        <f t="shared" si="13"/>
        <v>0.18190799999999999</v>
      </c>
      <c r="H107" s="15">
        <f t="shared" si="14"/>
        <v>0.48508799999999996</v>
      </c>
      <c r="I107" s="14">
        <f>+D107*H107</f>
        <v>7012.2206282850511</v>
      </c>
      <c r="J107" s="16">
        <f t="shared" si="9"/>
        <v>821.90996194360991</v>
      </c>
      <c r="K107" s="16">
        <f>SUM(J107:$J$130)</f>
        <v>1565.8587990792059</v>
      </c>
      <c r="L107" s="16">
        <f t="shared" si="10"/>
        <v>387.08607730029303</v>
      </c>
      <c r="M107" s="17">
        <f>SUM(L107:$L$130)</f>
        <v>780.36822235201362</v>
      </c>
    </row>
    <row r="108" spans="3:13" x14ac:dyDescent="0.2">
      <c r="C108" s="13">
        <f t="shared" si="15"/>
        <v>98</v>
      </c>
      <c r="D108" s="14">
        <f t="shared" si="11"/>
        <v>7443.34336893824</v>
      </c>
      <c r="E108" s="15">
        <v>0.32188</v>
      </c>
      <c r="F108" s="15">
        <f t="shared" si="12"/>
        <v>0.32188</v>
      </c>
      <c r="G108" s="32">
        <f t="shared" si="13"/>
        <v>0.19312799999999999</v>
      </c>
      <c r="H108" s="15">
        <f t="shared" si="14"/>
        <v>0.51500800000000002</v>
      </c>
      <c r="I108" s="14">
        <f>+D108*H108</f>
        <v>3833.3813817501455</v>
      </c>
      <c r="J108" s="16">
        <f t="shared" si="9"/>
        <v>410.88475953816322</v>
      </c>
      <c r="K108" s="16">
        <f>SUM(J108:$J$130)</f>
        <v>743.94883713559636</v>
      </c>
      <c r="L108" s="16">
        <f t="shared" si="10"/>
        <v>205.44557110701982</v>
      </c>
      <c r="M108" s="17">
        <f>SUM(L108:$L$130)</f>
        <v>393.28214505172036</v>
      </c>
    </row>
    <row r="109" spans="3:13" x14ac:dyDescent="0.2">
      <c r="C109" s="13">
        <f t="shared" si="15"/>
        <v>99</v>
      </c>
      <c r="D109" s="14">
        <f t="shared" si="11"/>
        <v>3609.9619871880946</v>
      </c>
      <c r="E109" s="15">
        <v>0.34185000000000004</v>
      </c>
      <c r="F109" s="15">
        <f t="shared" si="12"/>
        <v>0.34185000000000004</v>
      </c>
      <c r="G109" s="32">
        <f t="shared" si="13"/>
        <v>0.20511000000000001</v>
      </c>
      <c r="H109" s="15">
        <f t="shared" si="14"/>
        <v>0.54696000000000011</v>
      </c>
      <c r="I109" s="14">
        <f>+D109*H109</f>
        <v>1974.5048085124006</v>
      </c>
      <c r="J109" s="16">
        <f t="shared" si="9"/>
        <v>193.47167116304161</v>
      </c>
      <c r="K109" s="16">
        <f>SUM(J109:$J$130)</f>
        <v>333.06407759743286</v>
      </c>
      <c r="L109" s="16">
        <f>+I109*(1/(1.03))^100</f>
        <v>102.73909248479345</v>
      </c>
      <c r="M109" s="17">
        <f>SUM(L109:$L$130)</f>
        <v>187.83657394470069</v>
      </c>
    </row>
    <row r="110" spans="3:13" x14ac:dyDescent="0.2">
      <c r="C110" s="13">
        <f t="shared" si="15"/>
        <v>100</v>
      </c>
      <c r="D110" s="14">
        <f t="shared" si="11"/>
        <v>1635.457178675694</v>
      </c>
      <c r="E110" s="15">
        <v>0.36319000000000001</v>
      </c>
      <c r="F110" s="15">
        <f t="shared" si="12"/>
        <v>0.36319000000000001</v>
      </c>
      <c r="G110" s="32">
        <f t="shared" ref="G110:G130" si="16">+E110*$G$7</f>
        <v>0.217914</v>
      </c>
      <c r="H110" s="15">
        <f t="shared" si="14"/>
        <v>0.58110400000000006</v>
      </c>
      <c r="I110" s="14">
        <f t="shared" ref="I110:I130" si="17">+D110*H110</f>
        <v>950.37070835716054</v>
      </c>
      <c r="J110" s="16">
        <f t="shared" ref="J110:J130" si="18">+D110*(1/(1+$L$6))^C110</f>
        <v>85.097481459907129</v>
      </c>
      <c r="K110" s="16">
        <f>SUM(J110:$J$130)</f>
        <v>139.59240643439142</v>
      </c>
      <c r="L110" s="16">
        <f t="shared" ref="L110:L130" si="19">+I110*(1/(1.03))^100</f>
        <v>49.450486866277878</v>
      </c>
      <c r="M110" s="17">
        <f>SUM(L110:$L$130)</f>
        <v>85.097481459907229</v>
      </c>
    </row>
    <row r="111" spans="3:13" x14ac:dyDescent="0.2">
      <c r="C111" s="13">
        <f t="shared" si="15"/>
        <v>101</v>
      </c>
      <c r="D111" s="14">
        <f t="shared" si="11"/>
        <v>685.08647031853343</v>
      </c>
      <c r="E111" s="32">
        <v>0.38007999999999997</v>
      </c>
      <c r="F111" s="15">
        <f t="shared" si="12"/>
        <v>0.38007999999999997</v>
      </c>
      <c r="G111" s="32">
        <f t="shared" si="16"/>
        <v>0.22804799999999997</v>
      </c>
      <c r="H111" s="15">
        <f t="shared" si="14"/>
        <v>0.608128</v>
      </c>
      <c r="I111" s="14">
        <f t="shared" si="17"/>
        <v>416.6202650218691</v>
      </c>
      <c r="J111" s="16">
        <f t="shared" si="18"/>
        <v>34.608732615174034</v>
      </c>
      <c r="K111" s="16">
        <f>SUM(J111:$J$130)</f>
        <v>54.494924974484249</v>
      </c>
      <c r="L111" s="16">
        <f t="shared" si="19"/>
        <v>21.67793552823457</v>
      </c>
      <c r="M111" s="17">
        <f>SUM(L111:$L$130)</f>
        <v>35.64699459362933</v>
      </c>
    </row>
    <row r="112" spans="3:13" x14ac:dyDescent="0.2">
      <c r="C112" s="13">
        <f t="shared" si="15"/>
        <v>102</v>
      </c>
      <c r="D112" s="14">
        <f t="shared" si="11"/>
        <v>268.46620529666433</v>
      </c>
      <c r="E112" s="32">
        <v>0.39806000000000002</v>
      </c>
      <c r="F112" s="15">
        <f t="shared" si="12"/>
        <v>0.39806000000000002</v>
      </c>
      <c r="G112" s="32">
        <f t="shared" si="16"/>
        <v>0.23883599999999999</v>
      </c>
      <c r="H112" s="15">
        <f t="shared" si="14"/>
        <v>0.63689600000000002</v>
      </c>
      <c r="I112" s="14">
        <f t="shared" si="17"/>
        <v>170.98505228862433</v>
      </c>
      <c r="J112" s="16">
        <f t="shared" si="18"/>
        <v>13.167177929488812</v>
      </c>
      <c r="K112" s="16">
        <f>SUM(J112:$J$130)</f>
        <v>19.886192359310211</v>
      </c>
      <c r="L112" s="16">
        <f t="shared" si="19"/>
        <v>8.8968378425136123</v>
      </c>
      <c r="M112" s="17">
        <f>SUM(L112:$L$130)</f>
        <v>13.969059065394767</v>
      </c>
    </row>
    <row r="113" spans="3:13" x14ac:dyDescent="0.2">
      <c r="C113" s="13">
        <f t="shared" si="15"/>
        <v>103</v>
      </c>
      <c r="D113" s="14">
        <f t="shared" si="11"/>
        <v>97.481153008039996</v>
      </c>
      <c r="E113" s="32">
        <v>0.41720000000000002</v>
      </c>
      <c r="F113" s="15">
        <f t="shared" si="12"/>
        <v>0.41720000000000002</v>
      </c>
      <c r="G113" s="32">
        <f t="shared" si="16"/>
        <v>0.25031999999999999</v>
      </c>
      <c r="H113" s="15">
        <f t="shared" si="14"/>
        <v>0.66752</v>
      </c>
      <c r="I113" s="14">
        <f t="shared" si="17"/>
        <v>65.070619255926857</v>
      </c>
      <c r="J113" s="16">
        <f t="shared" si="18"/>
        <v>4.6418009465136949</v>
      </c>
      <c r="K113" s="16">
        <f>SUM(J113:$J$130)</f>
        <v>6.7190144298213985</v>
      </c>
      <c r="L113" s="16">
        <f t="shared" si="19"/>
        <v>3.3858091106975721</v>
      </c>
      <c r="M113" s="17">
        <f>SUM(L113:$L$130)</f>
        <v>5.0722212228811534</v>
      </c>
    </row>
    <row r="114" spans="3:13" x14ac:dyDescent="0.2">
      <c r="C114" s="13">
        <f t="shared" si="15"/>
        <v>104</v>
      </c>
      <c r="D114" s="14">
        <f t="shared" si="11"/>
        <v>32.410533752113139</v>
      </c>
      <c r="E114" s="32">
        <v>0.43756</v>
      </c>
      <c r="F114" s="15">
        <f t="shared" si="12"/>
        <v>0.43756</v>
      </c>
      <c r="G114" s="32">
        <f t="shared" si="16"/>
        <v>0.26253599999999999</v>
      </c>
      <c r="H114" s="15">
        <f t="shared" si="14"/>
        <v>0.70009600000000005</v>
      </c>
      <c r="I114" s="14">
        <f t="shared" si="17"/>
        <v>22.690485037719402</v>
      </c>
      <c r="J114" s="16">
        <f t="shared" si="18"/>
        <v>1.4983553191231778</v>
      </c>
      <c r="K114" s="16">
        <f>SUM(J114:$J$130)</f>
        <v>2.0772134833077014</v>
      </c>
      <c r="L114" s="16">
        <f t="shared" si="19"/>
        <v>1.1806503740912184</v>
      </c>
      <c r="M114" s="17">
        <f>SUM(L114:$L$130)</f>
        <v>1.6864121121835827</v>
      </c>
    </row>
    <row r="115" spans="3:13" x14ac:dyDescent="0.2">
      <c r="C115" s="13">
        <f t="shared" si="15"/>
        <v>105</v>
      </c>
      <c r="D115" s="14">
        <f t="shared" si="11"/>
        <v>9.7200487143937373</v>
      </c>
      <c r="E115" s="32">
        <v>0.45921000000000001</v>
      </c>
      <c r="F115" s="15">
        <f t="shared" si="12"/>
        <v>0.45921000000000001</v>
      </c>
      <c r="G115" s="32">
        <f t="shared" si="16"/>
        <v>0.27552599999999999</v>
      </c>
      <c r="H115" s="15">
        <f t="shared" si="14"/>
        <v>0.73473600000000006</v>
      </c>
      <c r="I115" s="14">
        <f t="shared" si="17"/>
        <v>7.1416697122187971</v>
      </c>
      <c r="J115" s="16">
        <f t="shared" si="18"/>
        <v>0.43627451808380335</v>
      </c>
      <c r="K115" s="16">
        <f>SUM(J115:$J$130)</f>
        <v>0.5788581641845244</v>
      </c>
      <c r="L115" s="16">
        <f t="shared" si="19"/>
        <v>0.3716013563989693</v>
      </c>
      <c r="M115" s="17">
        <f>SUM(L115:$L$130)</f>
        <v>0.50576173809236402</v>
      </c>
    </row>
    <row r="116" spans="3:13" x14ac:dyDescent="0.2">
      <c r="C116" s="13">
        <f t="shared" si="15"/>
        <v>106</v>
      </c>
      <c r="D116" s="14">
        <f t="shared" si="11"/>
        <v>2.5783790021749402</v>
      </c>
      <c r="E116" s="32">
        <v>0.48222000000000004</v>
      </c>
      <c r="F116" s="15">
        <f t="shared" si="12"/>
        <v>0.48222000000000004</v>
      </c>
      <c r="G116" s="32">
        <f t="shared" si="16"/>
        <v>0.28933200000000003</v>
      </c>
      <c r="H116" s="15">
        <f t="shared" si="14"/>
        <v>0.77155200000000002</v>
      </c>
      <c r="I116" s="14">
        <f t="shared" si="17"/>
        <v>1.9893534758860796</v>
      </c>
      <c r="J116" s="16">
        <f t="shared" si="18"/>
        <v>0.11235720753881748</v>
      </c>
      <c r="K116" s="16">
        <f>SUM(J116:$J$130)</f>
        <v>0.14258364610072091</v>
      </c>
      <c r="L116" s="16">
        <f t="shared" si="19"/>
        <v>0.10351171081623711</v>
      </c>
      <c r="M116" s="17">
        <f>SUM(L116:$L$130)</f>
        <v>0.13416038169339478</v>
      </c>
    </row>
    <row r="117" spans="3:13" x14ac:dyDescent="0.2">
      <c r="C117" s="13">
        <f t="shared" si="15"/>
        <v>107</v>
      </c>
      <c r="D117" s="14">
        <f t="shared" si="11"/>
        <v>0.58902552628886062</v>
      </c>
      <c r="E117" s="32">
        <v>0.50668999999999997</v>
      </c>
      <c r="F117" s="15">
        <f t="shared" si="12"/>
        <v>0.50668999999999997</v>
      </c>
      <c r="G117" s="32">
        <f t="shared" si="16"/>
        <v>0.30401399999999995</v>
      </c>
      <c r="H117" s="15">
        <f t="shared" si="14"/>
        <v>0.81070399999999987</v>
      </c>
      <c r="I117" s="14">
        <f t="shared" si="17"/>
        <v>0.47752535026448439</v>
      </c>
      <c r="J117" s="16">
        <f t="shared" si="18"/>
        <v>2.4920174124104629E-2</v>
      </c>
      <c r="K117" s="16">
        <f>SUM(J117:$J$130)</f>
        <v>3.0226438561903494E-2</v>
      </c>
      <c r="L117" s="16">
        <f t="shared" si="19"/>
        <v>2.4847000074726903E-2</v>
      </c>
      <c r="M117" s="17">
        <f>SUM(L117:$L$130)</f>
        <v>3.0648670877157693E-2</v>
      </c>
    </row>
    <row r="118" spans="3:13" x14ac:dyDescent="0.2">
      <c r="C118" s="13">
        <f t="shared" si="15"/>
        <v>108</v>
      </c>
      <c r="D118" s="14">
        <f t="shared" si="11"/>
        <v>0.11150017602437623</v>
      </c>
      <c r="E118" s="32">
        <v>0.53269000000000011</v>
      </c>
      <c r="F118" s="15">
        <f t="shared" si="12"/>
        <v>0.53269000000000011</v>
      </c>
      <c r="G118" s="32">
        <f t="shared" si="16"/>
        <v>0.31961400000000006</v>
      </c>
      <c r="H118" s="15">
        <f t="shared" si="14"/>
        <v>0.85230400000000017</v>
      </c>
      <c r="I118" s="14">
        <f t="shared" si="17"/>
        <v>9.5032046026279973E-2</v>
      </c>
      <c r="J118" s="16">
        <f t="shared" si="18"/>
        <v>4.5798925058218587E-3</v>
      </c>
      <c r="K118" s="16">
        <f>SUM(J118:$J$130)</f>
        <v>5.3062644377988672E-3</v>
      </c>
      <c r="L118" s="16">
        <f t="shared" si="19"/>
        <v>4.9447872315231218E-3</v>
      </c>
      <c r="M118" s="17">
        <f>SUM(L118:$L$130)</f>
        <v>5.8016708024307868E-3</v>
      </c>
    </row>
    <row r="119" spans="3:13" x14ac:dyDescent="0.2">
      <c r="C119" s="13">
        <f t="shared" si="15"/>
        <v>109</v>
      </c>
      <c r="D119" s="14">
        <f t="shared" si="11"/>
        <v>1.6468129998096256E-2</v>
      </c>
      <c r="E119" s="32">
        <v>0.56030999999999997</v>
      </c>
      <c r="F119" s="15">
        <f t="shared" si="12"/>
        <v>0.56030999999999997</v>
      </c>
      <c r="G119" s="32">
        <f t="shared" si="16"/>
        <v>0.33618599999999998</v>
      </c>
      <c r="H119" s="15">
        <f t="shared" si="14"/>
        <v>0.89649599999999996</v>
      </c>
      <c r="I119" s="14">
        <f t="shared" si="17"/>
        <v>1.47636126707733E-2</v>
      </c>
      <c r="J119" s="16">
        <f t="shared" si="18"/>
        <v>6.5672990634938302E-4</v>
      </c>
      <c r="K119" s="16">
        <f>SUM(J119:$J$130)</f>
        <v>7.2637193197700671E-4</v>
      </c>
      <c r="L119" s="16">
        <f t="shared" si="19"/>
        <v>7.6819269370886445E-4</v>
      </c>
      <c r="M119" s="17">
        <f>SUM(L119:$L$130)</f>
        <v>8.5688357090766469E-4</v>
      </c>
    </row>
    <row r="120" spans="3:13" x14ac:dyDescent="0.2">
      <c r="C120" s="13">
        <f t="shared" si="15"/>
        <v>110</v>
      </c>
      <c r="D120" s="14">
        <f t="shared" si="11"/>
        <v>1.7045173273229561E-3</v>
      </c>
      <c r="E120" s="32">
        <v>0.58963999999999994</v>
      </c>
      <c r="F120" s="15">
        <f t="shared" si="12"/>
        <v>0.58963999999999994</v>
      </c>
      <c r="G120" s="32">
        <f t="shared" si="16"/>
        <v>0.35378399999999993</v>
      </c>
      <c r="H120" s="15">
        <f t="shared" si="14"/>
        <v>0.94342399999999982</v>
      </c>
      <c r="I120" s="14">
        <f t="shared" si="17"/>
        <v>1.6080825550123321E-3</v>
      </c>
      <c r="J120" s="16">
        <f t="shared" si="18"/>
        <v>6.5994341967753965E-5</v>
      </c>
      <c r="K120" s="16">
        <f>SUM(J120:$J$130)</f>
        <v>6.9642025627623852E-5</v>
      </c>
      <c r="L120" s="16">
        <f t="shared" si="19"/>
        <v>8.3673102050871683E-5</v>
      </c>
      <c r="M120" s="17">
        <f>SUM(L120:$L$130)</f>
        <v>8.8690877198800312E-5</v>
      </c>
    </row>
    <row r="121" spans="3:13" x14ac:dyDescent="0.2">
      <c r="C121" s="13">
        <f t="shared" si="15"/>
        <v>111</v>
      </c>
      <c r="D121" s="14">
        <f t="shared" si="11"/>
        <v>9.6434772310623933E-5</v>
      </c>
      <c r="E121" s="32">
        <v>0.62078999999999995</v>
      </c>
      <c r="F121" s="15">
        <f t="shared" si="12"/>
        <v>0.62078999999999995</v>
      </c>
      <c r="G121" s="32">
        <f t="shared" si="16"/>
        <v>0.37247399999999997</v>
      </c>
      <c r="H121" s="15">
        <f t="shared" si="14"/>
        <v>0.99326399999999992</v>
      </c>
      <c r="I121" s="14">
        <f t="shared" si="17"/>
        <v>9.5785187684339565E-5</v>
      </c>
      <c r="J121" s="16">
        <f t="shared" si="18"/>
        <v>3.6249474671530704E-6</v>
      </c>
      <c r="K121" s="16">
        <f>SUM(J121:$J$130)</f>
        <v>3.6476836598698896E-6</v>
      </c>
      <c r="L121" s="16">
        <f t="shared" si="19"/>
        <v>4.9839753308014576E-6</v>
      </c>
      <c r="M121" s="17">
        <f>SUM(L121:$L$130)</f>
        <v>5.0177751479286236E-6</v>
      </c>
    </row>
    <row r="122" spans="3:13" x14ac:dyDescent="0.2">
      <c r="C122" s="13">
        <f t="shared" si="15"/>
        <v>112</v>
      </c>
      <c r="D122" s="14">
        <f t="shared" si="11"/>
        <v>6.4958462628436804E-7</v>
      </c>
      <c r="E122" s="32">
        <v>0.65383999999999998</v>
      </c>
      <c r="F122" s="15">
        <f t="shared" si="12"/>
        <v>0.65383999999999998</v>
      </c>
      <c r="G122" s="32">
        <f t="shared" si="16"/>
        <v>0.39230399999999999</v>
      </c>
      <c r="H122" s="15">
        <f t="shared" si="14"/>
        <v>1.046144</v>
      </c>
      <c r="I122" s="14">
        <f t="shared" si="17"/>
        <v>6.795590592796339E-7</v>
      </c>
      <c r="J122" s="16">
        <f t="shared" si="18"/>
        <v>2.3706452561886677E-8</v>
      </c>
      <c r="K122" s="16">
        <f>SUM(J122:$J$130)</f>
        <v>2.2736192716819384E-8</v>
      </c>
      <c r="L122" s="16">
        <f t="shared" si="19"/>
        <v>3.5359387700255915E-8</v>
      </c>
      <c r="M122" s="17">
        <f>SUM(L122:$L$130)</f>
        <v>3.3799817127165641E-8</v>
      </c>
    </row>
    <row r="123" spans="3:13" x14ac:dyDescent="0.2">
      <c r="C123" s="13">
        <f t="shared" si="15"/>
        <v>113</v>
      </c>
      <c r="D123" s="14">
        <f t="shared" si="11"/>
        <v>-2.9974432995265863E-8</v>
      </c>
      <c r="E123" s="32">
        <v>0.68894000000000011</v>
      </c>
      <c r="F123" s="15">
        <f t="shared" si="12"/>
        <v>0.68894000000000011</v>
      </c>
      <c r="G123" s="32">
        <f t="shared" si="16"/>
        <v>0.41336400000000006</v>
      </c>
      <c r="H123" s="15">
        <f t="shared" si="14"/>
        <v>1.1023040000000002</v>
      </c>
      <c r="I123" s="14">
        <f t="shared" si="17"/>
        <v>-3.304093738841355E-8</v>
      </c>
      <c r="J123" s="16">
        <f t="shared" si="18"/>
        <v>-1.0620490747725226E-9</v>
      </c>
      <c r="K123" s="16">
        <f>SUM(J123:$J$130)</f>
        <v>-9.7025984506729543E-10</v>
      </c>
      <c r="L123" s="16">
        <f t="shared" si="19"/>
        <v>-1.7192138036321071E-9</v>
      </c>
      <c r="M123" s="17">
        <f>SUM(L123:$L$130)</f>
        <v>-1.5595705730902753E-9</v>
      </c>
    </row>
    <row r="124" spans="3:13" x14ac:dyDescent="0.2">
      <c r="C124" s="13">
        <f t="shared" si="15"/>
        <v>114</v>
      </c>
      <c r="D124" s="14">
        <f t="shared" si="11"/>
        <v>3.0665043931476865E-9</v>
      </c>
      <c r="E124" s="32">
        <v>0.72617999999999994</v>
      </c>
      <c r="F124" s="15">
        <f t="shared" si="12"/>
        <v>0.72617999999999994</v>
      </c>
      <c r="G124" s="32">
        <f t="shared" si="16"/>
        <v>0.43570799999999993</v>
      </c>
      <c r="H124" s="15">
        <f t="shared" si="14"/>
        <v>1.1618879999999998</v>
      </c>
      <c r="I124" s="14">
        <f t="shared" si="17"/>
        <v>3.5629346563455788E-9</v>
      </c>
      <c r="J124" s="16">
        <f t="shared" si="18"/>
        <v>1.0548725101507614E-10</v>
      </c>
      <c r="K124" s="16">
        <f>SUM(J124:$J$130)</f>
        <v>9.1789229705226946E-11</v>
      </c>
      <c r="L124" s="16">
        <f t="shared" si="19"/>
        <v>1.8538960837038917E-10</v>
      </c>
      <c r="M124" s="17">
        <f>SUM(L124:$L$130)</f>
        <v>1.5964323054183155E-10</v>
      </c>
    </row>
    <row r="125" spans="3:13" x14ac:dyDescent="0.2">
      <c r="C125" s="13">
        <f t="shared" si="15"/>
        <v>115</v>
      </c>
      <c r="D125" s="14">
        <f t="shared" si="11"/>
        <v>-4.9643026319789227E-10</v>
      </c>
      <c r="E125" s="32">
        <v>0.76570000000000005</v>
      </c>
      <c r="F125" s="15">
        <f t="shared" si="12"/>
        <v>0.76570000000000005</v>
      </c>
      <c r="G125" s="32">
        <f t="shared" si="16"/>
        <v>0.45942</v>
      </c>
      <c r="H125" s="15">
        <f t="shared" si="14"/>
        <v>1.22512</v>
      </c>
      <c r="I125" s="14">
        <f t="shared" si="17"/>
        <v>-6.0818664404900181E-10</v>
      </c>
      <c r="J125" s="16">
        <f t="shared" si="18"/>
        <v>-1.6579728244979255E-11</v>
      </c>
      <c r="K125" s="16">
        <f>SUM(J125:$J$130)</f>
        <v>-1.3698021309849182E-11</v>
      </c>
      <c r="L125" s="16">
        <f t="shared" si="19"/>
        <v>-3.1645678248837818E-11</v>
      </c>
      <c r="M125" s="17">
        <f>SUM(L125:$L$130)</f>
        <v>-2.574637782855762E-11</v>
      </c>
    </row>
    <row r="126" spans="3:13" x14ac:dyDescent="0.2">
      <c r="C126" s="13">
        <f t="shared" si="15"/>
        <v>116</v>
      </c>
      <c r="D126" s="14">
        <f t="shared" si="11"/>
        <v>1.1175638085110954E-10</v>
      </c>
      <c r="E126" s="32">
        <v>0.80761000000000005</v>
      </c>
      <c r="F126" s="15">
        <f t="shared" si="12"/>
        <v>0.80761000000000005</v>
      </c>
      <c r="G126" s="32">
        <f t="shared" si="16"/>
        <v>0.484566</v>
      </c>
      <c r="H126" s="15">
        <f t="shared" si="14"/>
        <v>1.292176</v>
      </c>
      <c r="I126" s="14">
        <f t="shared" si="17"/>
        <v>1.4440891318266333E-10</v>
      </c>
      <c r="J126" s="16">
        <f t="shared" si="18"/>
        <v>3.6237169150579919E-12</v>
      </c>
      <c r="K126" s="16">
        <f>SUM(J126:$J$130)</f>
        <v>2.8817069351300715E-12</v>
      </c>
      <c r="L126" s="16">
        <f t="shared" si="19"/>
        <v>7.5140058525762644E-12</v>
      </c>
      <c r="M126" s="17">
        <f>SUM(L126:$L$130)</f>
        <v>5.8993004202801918E-12</v>
      </c>
    </row>
    <row r="127" spans="3:13" x14ac:dyDescent="0.2">
      <c r="C127" s="13">
        <f t="shared" si="15"/>
        <v>117</v>
      </c>
      <c r="D127" s="14">
        <f t="shared" si="11"/>
        <v>-3.265253233155379E-11</v>
      </c>
      <c r="E127" s="32">
        <v>0.85207000000000011</v>
      </c>
      <c r="F127" s="15">
        <f t="shared" si="12"/>
        <v>0.85207000000000011</v>
      </c>
      <c r="G127" s="32">
        <f t="shared" si="16"/>
        <v>0.51124200000000009</v>
      </c>
      <c r="H127" s="15">
        <f t="shared" si="14"/>
        <v>1.3633120000000001</v>
      </c>
      <c r="I127" s="14">
        <f t="shared" si="17"/>
        <v>-4.4515589157995263E-11</v>
      </c>
      <c r="J127" s="16">
        <f t="shared" si="18"/>
        <v>-1.0279253527902759E-12</v>
      </c>
      <c r="K127" s="16">
        <f>SUM(J127:$J$130)</f>
        <v>-7.420099799279207E-13</v>
      </c>
      <c r="L127" s="16">
        <f t="shared" si="19"/>
        <v>-2.3162725214956704E-12</v>
      </c>
      <c r="M127" s="17">
        <f>SUM(L127:$L$130)</f>
        <v>-1.6147054322960728E-12</v>
      </c>
    </row>
    <row r="128" spans="3:13" x14ac:dyDescent="0.2">
      <c r="C128" s="13">
        <f t="shared" si="15"/>
        <v>118</v>
      </c>
      <c r="D128" s="14">
        <f t="shared" si="11"/>
        <v>1.1863056826441473E-11</v>
      </c>
      <c r="E128" s="32">
        <v>0.89922999999999997</v>
      </c>
      <c r="F128" s="15">
        <f t="shared" si="12"/>
        <v>0.89922999999999997</v>
      </c>
      <c r="G128" s="32">
        <f t="shared" si="16"/>
        <v>0.53953799999999996</v>
      </c>
      <c r="H128" s="15">
        <f t="shared" si="14"/>
        <v>1.438768</v>
      </c>
      <c r="I128" s="14">
        <f t="shared" si="17"/>
        <v>1.7068186544065545E-11</v>
      </c>
      <c r="J128" s="16">
        <f t="shared" si="18"/>
        <v>3.6258020948829196E-13</v>
      </c>
      <c r="K128" s="16">
        <f>SUM(J128:$J$130)</f>
        <v>2.8591537286235528E-13</v>
      </c>
      <c r="L128" s="16">
        <f t="shared" si="19"/>
        <v>8.8810621698085573E-13</v>
      </c>
      <c r="M128" s="17">
        <f>SUM(L128:$L$130)</f>
        <v>7.0156708919959761E-13</v>
      </c>
    </row>
    <row r="129" spans="3:13" x14ac:dyDescent="0.2">
      <c r="C129" s="13">
        <f t="shared" si="15"/>
        <v>119</v>
      </c>
      <c r="D129" s="14">
        <f t="shared" si="11"/>
        <v>-5.205129717624072E-12</v>
      </c>
      <c r="E129" s="32">
        <v>0.94922000000000006</v>
      </c>
      <c r="F129" s="15">
        <f t="shared" si="12"/>
        <v>0.94922000000000006</v>
      </c>
      <c r="G129" s="32">
        <f t="shared" si="16"/>
        <v>0.56953200000000004</v>
      </c>
      <c r="H129" s="15">
        <f t="shared" si="14"/>
        <v>1.5187520000000001</v>
      </c>
      <c r="I129" s="14">
        <f t="shared" si="17"/>
        <v>-7.9053011689009947E-12</v>
      </c>
      <c r="J129" s="16">
        <f t="shared" si="18"/>
        <v>-1.5445494500656199E-13</v>
      </c>
      <c r="K129" s="16">
        <f>SUM(J129:$J$130)</f>
        <v>-7.6664836625936691E-14</v>
      </c>
      <c r="L129" s="16">
        <f t="shared" si="19"/>
        <v>-4.1133526968909596E-13</v>
      </c>
      <c r="M129" s="17">
        <f>SUM(L129:$L$130)</f>
        <v>-1.8653912778125802E-13</v>
      </c>
    </row>
    <row r="130" spans="3:13" ht="13.5" thickBot="1" x14ac:dyDescent="0.25">
      <c r="C130" s="19">
        <f t="shared" si="15"/>
        <v>120</v>
      </c>
      <c r="D130" s="20">
        <f t="shared" si="11"/>
        <v>2.7001714512769227E-12</v>
      </c>
      <c r="E130" s="34">
        <v>1</v>
      </c>
      <c r="F130" s="67">
        <f t="shared" si="12"/>
        <v>1</v>
      </c>
      <c r="G130" s="34">
        <f t="shared" si="16"/>
        <v>0.6</v>
      </c>
      <c r="H130" s="67">
        <f t="shared" si="14"/>
        <v>1.6</v>
      </c>
      <c r="I130" s="20">
        <f t="shared" si="17"/>
        <v>4.3202743220430767E-12</v>
      </c>
      <c r="J130" s="21">
        <f t="shared" si="18"/>
        <v>7.7790108380625294E-14</v>
      </c>
      <c r="K130" s="21">
        <f>SUM(J130:$J$130)</f>
        <v>7.7790108380625294E-14</v>
      </c>
      <c r="L130" s="21">
        <f t="shared" si="19"/>
        <v>2.2479614190783794E-13</v>
      </c>
      <c r="M130" s="22">
        <f>SUM(L130:$L$130)</f>
        <v>2.2479614190783794E-13</v>
      </c>
    </row>
  </sheetData>
  <mergeCells count="3">
    <mergeCell ref="D6:K6"/>
    <mergeCell ref="C4:M4"/>
    <mergeCell ref="C5:L5"/>
  </mergeCells>
  <phoneticPr fontId="5" type="noConversion"/>
  <pageMargins left="0.55118110236220474" right="0.35433070866141736" top="0.78740157480314965" bottom="0.98425196850393704" header="0" footer="0"/>
  <pageSetup scale="70" orientation="portrait" horizontalDpi="4294967293" verticalDpi="0" r:id="rId1"/>
  <headerFooter alignWithMargins="0"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4"/>
  <sheetViews>
    <sheetView topLeftCell="A9" workbookViewId="0">
      <selection activeCell="B23" sqref="B23:N23"/>
    </sheetView>
  </sheetViews>
  <sheetFormatPr defaultColWidth="11.42578125" defaultRowHeight="12.75" x14ac:dyDescent="0.2"/>
  <cols>
    <col min="1" max="2" width="11.42578125" customWidth="1"/>
    <col min="3" max="3" width="14.42578125" customWidth="1"/>
    <col min="4" max="4" width="15.28515625" customWidth="1"/>
    <col min="5" max="5" width="17.140625" customWidth="1"/>
    <col min="6" max="6" width="15.7109375" customWidth="1"/>
    <col min="7" max="7" width="14" customWidth="1"/>
    <col min="8" max="8" width="14.5703125" customWidth="1"/>
    <col min="9" max="9" width="14.7109375" customWidth="1"/>
    <col min="10" max="10" width="13.85546875" customWidth="1"/>
    <col min="11" max="11" width="16" customWidth="1"/>
    <col min="12" max="12" width="13.85546875" customWidth="1"/>
    <col min="13" max="13" width="12.28515625" bestFit="1" customWidth="1"/>
  </cols>
  <sheetData>
    <row r="1" spans="2:12" x14ac:dyDescent="0.2">
      <c r="K1" s="1" t="s">
        <v>46</v>
      </c>
    </row>
    <row r="2" spans="2:12" x14ac:dyDescent="0.2">
      <c r="L2" s="1"/>
    </row>
    <row r="3" spans="2:12" ht="18" x14ac:dyDescent="0.25">
      <c r="B3" s="161" t="s">
        <v>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2:12" ht="15.75" x14ac:dyDescent="0.25">
      <c r="B4" s="141" t="s">
        <v>39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6" spans="2:12" ht="6" customHeight="1" x14ac:dyDescent="0.2"/>
    <row r="7" spans="2:12" ht="18" x14ac:dyDescent="0.25">
      <c r="B7" s="44" t="s">
        <v>21</v>
      </c>
      <c r="C7" s="44"/>
      <c r="D7" s="44"/>
      <c r="E7" s="42">
        <v>1000</v>
      </c>
    </row>
    <row r="8" spans="2:12" ht="18" x14ac:dyDescent="0.25">
      <c r="B8" s="168" t="s">
        <v>22</v>
      </c>
      <c r="C8" s="168"/>
      <c r="D8" s="168"/>
      <c r="E8" s="40">
        <v>10</v>
      </c>
      <c r="F8" s="41" t="s">
        <v>17</v>
      </c>
      <c r="H8" s="49"/>
      <c r="J8" s="73"/>
    </row>
    <row r="9" spans="2:12" ht="18" x14ac:dyDescent="0.25">
      <c r="B9" s="168" t="s">
        <v>23</v>
      </c>
      <c r="C9" s="168"/>
      <c r="D9" s="168"/>
      <c r="E9" s="40" t="s">
        <v>52</v>
      </c>
      <c r="F9" s="41"/>
    </row>
    <row r="10" spans="2:12" ht="18" x14ac:dyDescent="0.25">
      <c r="B10" s="81"/>
      <c r="C10" s="81" t="s">
        <v>67</v>
      </c>
      <c r="D10" s="81" t="s">
        <v>26</v>
      </c>
      <c r="E10" s="80">
        <v>0</v>
      </c>
      <c r="F10" s="41"/>
      <c r="I10" s="35"/>
    </row>
    <row r="11" spans="2:12" x14ac:dyDescent="0.2">
      <c r="B11" s="169" t="s">
        <v>9</v>
      </c>
      <c r="C11" s="169"/>
      <c r="D11" s="170"/>
      <c r="E11" s="28" t="s">
        <v>4</v>
      </c>
      <c r="F11" s="28" t="s">
        <v>5</v>
      </c>
      <c r="G11" s="28" t="s">
        <v>6</v>
      </c>
      <c r="H11" s="28" t="s">
        <v>7</v>
      </c>
    </row>
    <row r="12" spans="2:12" x14ac:dyDescent="0.2">
      <c r="B12" s="171" t="s">
        <v>8</v>
      </c>
      <c r="C12" s="171"/>
      <c r="D12" s="172"/>
      <c r="E12" s="29">
        <v>7.0000000000000007E-2</v>
      </c>
      <c r="F12" s="29">
        <v>0.06</v>
      </c>
      <c r="G12" s="29">
        <v>0.04</v>
      </c>
      <c r="H12" s="29">
        <v>0</v>
      </c>
    </row>
    <row r="13" spans="2:12" ht="13.5" thickBot="1" x14ac:dyDescent="0.25">
      <c r="C13" s="24"/>
      <c r="D13" s="45">
        <v>0.5</v>
      </c>
      <c r="E13" s="30"/>
      <c r="F13" s="30"/>
      <c r="G13" s="30"/>
      <c r="H13" s="30"/>
      <c r="I13" s="31"/>
      <c r="J13" s="31"/>
      <c r="K13" s="31"/>
      <c r="L13" s="31"/>
    </row>
    <row r="14" spans="2:12" ht="13.5" thickBot="1" x14ac:dyDescent="0.25">
      <c r="C14" s="2"/>
      <c r="D14" s="39"/>
      <c r="I14" s="162" t="s">
        <v>15</v>
      </c>
      <c r="J14" s="163"/>
      <c r="K14" s="163"/>
      <c r="L14" s="164"/>
    </row>
    <row r="15" spans="2:12" ht="13.5" thickBot="1" x14ac:dyDescent="0.25">
      <c r="B15" s="4" t="s">
        <v>1</v>
      </c>
      <c r="C15" s="43" t="s">
        <v>19</v>
      </c>
      <c r="D15" s="38" t="s">
        <v>20</v>
      </c>
      <c r="E15" s="165" t="s">
        <v>16</v>
      </c>
      <c r="F15" s="166"/>
      <c r="G15" s="166"/>
      <c r="H15" s="167"/>
      <c r="I15" s="4" t="s">
        <v>4</v>
      </c>
      <c r="J15" s="27" t="s">
        <v>5</v>
      </c>
      <c r="K15" s="5" t="s">
        <v>6</v>
      </c>
      <c r="L15" s="27" t="s">
        <v>7</v>
      </c>
    </row>
    <row r="16" spans="2:12" x14ac:dyDescent="0.2">
      <c r="B16" s="87">
        <v>12</v>
      </c>
      <c r="C16" s="47">
        <f>IF($E$9="H",+(VLOOKUP(B16,'CSO2001'!_xlnm.Print_Area,11)-VLOOKUP(B16+$E$8,'CSO2001'!_xlnm.Print_Area,11))/(VLOOKUP(B16,'CSO2001'!_xlnm.Print_Area,9)-VLOOKUP(B16+$E$8,'CSO2001'!_xlnm.Print_Area,9))*$E$7,+(VLOOKUP(B16-3,'CSO2001'!_xlnm.Print_Area,11)-VLOOKUP(B16-3+$E$8,'CSO2001'!_xlnm.Print_Area,11))/(VLOOKUP(B16-3,'CSO2001'!_xlnm.Print_Area,9)-VLOOKUP(B16-3+$E$8,'CSO2001'!_xlnm.Print_Area,9))*$E$7)*(1+$E$10)</f>
        <v>1.105185273414971</v>
      </c>
      <c r="D16" s="48">
        <f>+C16/(1-$D$13)</f>
        <v>2.2103705468299419</v>
      </c>
      <c r="E16" s="48">
        <f>+$D16*(1+$E$12)</f>
        <v>2.365096485108038</v>
      </c>
      <c r="F16" s="48">
        <f>+$D16*(1+$F$12)</f>
        <v>2.3429927796397387</v>
      </c>
      <c r="G16" s="48">
        <f>+$D16*(1+$G$12)</f>
        <v>2.2987853687031397</v>
      </c>
      <c r="H16" s="48">
        <f>+$D16*(1+$H$12)</f>
        <v>2.2103705468299419</v>
      </c>
      <c r="I16" s="48">
        <f>+E16/12</f>
        <v>0.19709137375900318</v>
      </c>
      <c r="J16" s="48">
        <f>+F16/4</f>
        <v>0.58574819490993468</v>
      </c>
      <c r="K16" s="48">
        <f>+G16/2</f>
        <v>1.1493926843515698</v>
      </c>
      <c r="L16" s="48">
        <f>+H16</f>
        <v>2.2103705468299419</v>
      </c>
    </row>
    <row r="17" spans="2:13" x14ac:dyDescent="0.2">
      <c r="B17" s="87">
        <v>13</v>
      </c>
      <c r="C17" s="47">
        <f>IF($E$9="H",+(VLOOKUP(B17,'CSO2001'!_xlnm.Print_Area,11)-VLOOKUP(B17+$E$8,'CSO2001'!_xlnm.Print_Area,11))/(VLOOKUP(B17,'CSO2001'!_xlnm.Print_Area,9)-VLOOKUP(B17+$E$8,'CSO2001'!_xlnm.Print_Area,9))*$E$7,+(VLOOKUP(B17-3,'CSO2001'!_xlnm.Print_Area,11)-VLOOKUP(B17-3+$E$8,'CSO2001'!_xlnm.Print_Area,11))/(VLOOKUP(B17-3,'CSO2001'!_xlnm.Print_Area,9)-VLOOKUP(B17-3+$E$8,'CSO2001'!_xlnm.Print_Area,9))*$E$7)*(1+$E$10)</f>
        <v>1.2165295146710027</v>
      </c>
      <c r="D17" s="48">
        <f t="shared" ref="D17:D18" si="0">+C17/(1-$D$13)</f>
        <v>2.4330590293420054</v>
      </c>
      <c r="E17" s="48">
        <f t="shared" ref="E17:E18" si="1">+$D17*(1+$E$12)</f>
        <v>2.6033731613959459</v>
      </c>
      <c r="F17" s="48">
        <f t="shared" ref="F17:F18" si="2">+$D17*(1+$F$12)</f>
        <v>2.579042571102526</v>
      </c>
      <c r="G17" s="48">
        <f t="shared" ref="G17:G18" si="3">+$D17*(1+$G$12)</f>
        <v>2.5303813905156858</v>
      </c>
      <c r="H17" s="48">
        <f t="shared" ref="H17:H18" si="4">+$D17*(1+$H$12)</f>
        <v>2.4330590293420054</v>
      </c>
      <c r="I17" s="48">
        <f t="shared" ref="I17:I18" si="5">+E17/12</f>
        <v>0.21694776344966216</v>
      </c>
      <c r="J17" s="48">
        <f t="shared" ref="J17:J18" si="6">+F17/4</f>
        <v>0.6447606427756315</v>
      </c>
      <c r="K17" s="48">
        <f t="shared" ref="K17:K18" si="7">+G17/2</f>
        <v>1.2651906952578429</v>
      </c>
      <c r="L17" s="48">
        <f t="shared" ref="L17:L18" si="8">+H17</f>
        <v>2.4330590293420054</v>
      </c>
    </row>
    <row r="18" spans="2:13" x14ac:dyDescent="0.2">
      <c r="B18" s="87">
        <v>14</v>
      </c>
      <c r="C18" s="47">
        <f>IF($E$9="H",+(VLOOKUP(B18,'CSO2001'!_xlnm.Print_Area,11)-VLOOKUP(B18+$E$8,'CSO2001'!_xlnm.Print_Area,11))/(VLOOKUP(B18,'CSO2001'!_xlnm.Print_Area,9)-VLOOKUP(B18+$E$8,'CSO2001'!_xlnm.Print_Area,9))*$E$7,+(VLOOKUP(B18-3,'CSO2001'!_xlnm.Print_Area,11)-VLOOKUP(B18-3+$E$8,'CSO2001'!_xlnm.Print_Area,11))/(VLOOKUP(B18-3,'CSO2001'!_xlnm.Print_Area,9)-VLOOKUP(B18-3+$E$8,'CSO2001'!_xlnm.Print_Area,9))*$E$7)*(1+$E$10)</f>
        <v>1.3217490486769696</v>
      </c>
      <c r="D18" s="48">
        <f t="shared" si="0"/>
        <v>2.6434980973539393</v>
      </c>
      <c r="E18" s="48">
        <f t="shared" si="1"/>
        <v>2.8285429641687152</v>
      </c>
      <c r="F18" s="48">
        <f t="shared" si="2"/>
        <v>2.8021079831951758</v>
      </c>
      <c r="G18" s="48">
        <f t="shared" si="3"/>
        <v>2.7492380212480971</v>
      </c>
      <c r="H18" s="48">
        <f t="shared" si="4"/>
        <v>2.6434980973539393</v>
      </c>
      <c r="I18" s="48">
        <f t="shared" si="5"/>
        <v>0.23571191368072628</v>
      </c>
      <c r="J18" s="48">
        <f t="shared" si="6"/>
        <v>0.70052699579879396</v>
      </c>
      <c r="K18" s="48">
        <f t="shared" si="7"/>
        <v>1.3746190106240486</v>
      </c>
      <c r="L18" s="48">
        <f t="shared" si="8"/>
        <v>2.6434980973539393</v>
      </c>
    </row>
    <row r="19" spans="2:13" x14ac:dyDescent="0.2">
      <c r="B19" s="87">
        <v>15</v>
      </c>
      <c r="C19" s="47">
        <f>IF($E$9="H",+(VLOOKUP(B19,'CSO2001'!_xlnm.Print_Area,11)-VLOOKUP(B19+$E$8,'CSO2001'!_xlnm.Print_Area,11))/(VLOOKUP(B19,'CSO2001'!_xlnm.Print_Area,9)-VLOOKUP(B19+$E$8,'CSO2001'!_xlnm.Print_Area,9))*$E$7,+(VLOOKUP(B19-3,'CSO2001'!_xlnm.Print_Area,11)-VLOOKUP(B19-3+$E$8,'CSO2001'!_xlnm.Print_Area,11))/(VLOOKUP(B19-3,'CSO2001'!_xlnm.Print_Area,9)-VLOOKUP(B19-3+$E$8,'CSO2001'!_xlnm.Print_Area,9))*$E$7)*(1+$E$10)</f>
        <v>1.4183434747269774</v>
      </c>
      <c r="D19" s="48">
        <f>+C19/(1-$D$13)</f>
        <v>2.8366869494539548</v>
      </c>
      <c r="E19" s="48">
        <f>+$D19*(1+$E$12)</f>
        <v>3.035255035915732</v>
      </c>
      <c r="F19" s="48">
        <f>+$D19*(1+$F$12)</f>
        <v>3.0068881664211924</v>
      </c>
      <c r="G19" s="48">
        <f>+$D19*(1+$G$12)</f>
        <v>2.9501544274321132</v>
      </c>
      <c r="H19" s="48">
        <f>+$D19*(1+$H$12)</f>
        <v>2.8366869494539548</v>
      </c>
      <c r="I19" s="48">
        <f>+E19/12</f>
        <v>0.25293791965964435</v>
      </c>
      <c r="J19" s="48">
        <f>+F19/4</f>
        <v>0.7517220416052981</v>
      </c>
      <c r="K19" s="48">
        <f>+G19/2</f>
        <v>1.4750772137160566</v>
      </c>
      <c r="L19" s="48">
        <f>+H19</f>
        <v>2.8366869494539548</v>
      </c>
    </row>
    <row r="20" spans="2:13" x14ac:dyDescent="0.2">
      <c r="B20" s="87">
        <v>16</v>
      </c>
      <c r="C20" s="47">
        <f>IF($E$9="H",+(VLOOKUP(B20,'CSO2001'!_xlnm.Print_Area,11)-VLOOKUP(B20+$E$8,'CSO2001'!_xlnm.Print_Area,11))/(VLOOKUP(B20,'CSO2001'!_xlnm.Print_Area,9)-VLOOKUP(B20+$E$8,'CSO2001'!_xlnm.Print_Area,9))*$E$7,+(VLOOKUP(B20-3,'CSO2001'!_xlnm.Print_Area,11)-VLOOKUP(B20-3+$E$8,'CSO2001'!_xlnm.Print_Area,11))/(VLOOKUP(B20-3,'CSO2001'!_xlnm.Print_Area,9)-VLOOKUP(B20-3+$E$8,'CSO2001'!_xlnm.Print_Area,9))*$E$7)*(1+$E$10)</f>
        <v>1.495035681124768</v>
      </c>
      <c r="D20" s="48">
        <f>+C20/(1-$D$13)</f>
        <v>2.9900713622495361</v>
      </c>
      <c r="E20" s="48">
        <f>+$D20*(1+$E$12)</f>
        <v>3.1993763576070036</v>
      </c>
      <c r="F20" s="48">
        <f>+$D20*(1+$F$12)</f>
        <v>3.1694756439845082</v>
      </c>
      <c r="G20" s="48">
        <f>+$D20*(1+$G$12)</f>
        <v>3.1096742167395175</v>
      </c>
      <c r="H20" s="48">
        <f>+$D20*(1+$H$12)</f>
        <v>2.9900713622495361</v>
      </c>
      <c r="I20" s="48">
        <f>+E20/12</f>
        <v>0.26661469646725028</v>
      </c>
      <c r="J20" s="48">
        <f>+F20/4</f>
        <v>0.79236891099612705</v>
      </c>
      <c r="K20" s="48">
        <f>+G20/2</f>
        <v>1.5548371083697587</v>
      </c>
      <c r="L20" s="48">
        <f>+H20</f>
        <v>2.9900713622495361</v>
      </c>
    </row>
    <row r="21" spans="2:13" x14ac:dyDescent="0.2">
      <c r="B21" s="87">
        <v>17</v>
      </c>
      <c r="C21" s="47">
        <f>IF($E$9="H",+(VLOOKUP(B21,'CSO2001'!_xlnm.Print_Area,11)-VLOOKUP(B21+$E$8,'CSO2001'!_xlnm.Print_Area,11))/(VLOOKUP(B21,'CSO2001'!_xlnm.Print_Area,9)-VLOOKUP(B21+$E$8,'CSO2001'!_xlnm.Print_Area,9))*$E$7,+(VLOOKUP(B21-3,'CSO2001'!_xlnm.Print_Area,11)-VLOOKUP(B21-3+$E$8,'CSO2001'!_xlnm.Print_Area,11))/(VLOOKUP(B21-3,'CSO2001'!_xlnm.Print_Area,9)-VLOOKUP(B21-3+$E$8,'CSO2001'!_xlnm.Print_Area,9))*$E$7)*(1+$E$10)</f>
        <v>1.5570428444753976</v>
      </c>
      <c r="D21" s="48">
        <f>+C21/(1-$D$13)</f>
        <v>3.1140856889507953</v>
      </c>
      <c r="E21" s="48">
        <f>+$D21*(1+$E$12)</f>
        <v>3.332071687177351</v>
      </c>
      <c r="F21" s="48">
        <f>+$D21*(1+$F$12)</f>
        <v>3.3009308302878431</v>
      </c>
      <c r="G21" s="48">
        <f>+$D21*(1+$G$12)</f>
        <v>3.2386491165088271</v>
      </c>
      <c r="H21" s="48">
        <f>+$D21*(1+$H$12)</f>
        <v>3.1140856889507953</v>
      </c>
      <c r="I21" s="48">
        <f>+E21/12</f>
        <v>0.27767264059811259</v>
      </c>
      <c r="J21" s="48">
        <f>+F21/4</f>
        <v>0.82523270757196077</v>
      </c>
      <c r="K21" s="48">
        <f>+G21/2</f>
        <v>1.6193245582544136</v>
      </c>
      <c r="L21" s="48">
        <f>+H21</f>
        <v>3.1140856889507953</v>
      </c>
    </row>
    <row r="22" spans="2:13" x14ac:dyDescent="0.2">
      <c r="B22" s="26">
        <v>18</v>
      </c>
      <c r="C22" s="47">
        <f>IF($E$9="H",+(VLOOKUP(B22,'CSO2001'!_xlnm.Print_Area,11)-VLOOKUP(B22+$E$8,'CSO2001'!_xlnm.Print_Area,11))/(VLOOKUP(B22,'CSO2001'!_xlnm.Print_Area,9)-VLOOKUP(B22+$E$8,'CSO2001'!_xlnm.Print_Area,9))*$E$7,+(VLOOKUP(B22-3,'CSO2001'!_xlnm.Print_Area,11)-VLOOKUP(B22-3+$E$8,'CSO2001'!_xlnm.Print_Area,11))/(VLOOKUP(B22-3,'CSO2001'!_xlnm.Print_Area,9)-VLOOKUP(B22-3+$E$8,'CSO2001'!_xlnm.Print_Area,9))*$E$7)*(1+$E$10)</f>
        <v>1.6038792922086835</v>
      </c>
      <c r="D22" s="48">
        <f>+C22/(1-$D$13)</f>
        <v>3.2077585844173671</v>
      </c>
      <c r="E22" s="48">
        <f>+$D22*(1+$E$12)</f>
        <v>3.4323016853265829</v>
      </c>
      <c r="F22" s="48">
        <f>+$D22*(1+$F$12)</f>
        <v>3.4002240994824091</v>
      </c>
      <c r="G22" s="48">
        <f>+$D22*(1+$G$12)</f>
        <v>3.3360689277940621</v>
      </c>
      <c r="H22" s="48">
        <f>+$D22*(1+$H$12)</f>
        <v>3.2077585844173671</v>
      </c>
      <c r="I22" s="48">
        <f>+E22/12</f>
        <v>0.28602514044388189</v>
      </c>
      <c r="J22" s="48">
        <f>+F22/4</f>
        <v>0.85005602487060228</v>
      </c>
      <c r="K22" s="48">
        <f>+G22/2</f>
        <v>1.668034463897031</v>
      </c>
      <c r="L22" s="48">
        <f>+H22</f>
        <v>3.2077585844173671</v>
      </c>
    </row>
    <row r="23" spans="2:13" x14ac:dyDescent="0.2">
      <c r="B23" s="26">
        <f t="shared" ref="B23:B74" si="9">+B22+1</f>
        <v>19</v>
      </c>
      <c r="C23" s="47">
        <f>IF($E$9="H",+(VLOOKUP(B23,'CSO2001'!_xlnm.Print_Area,11)-VLOOKUP(B23+$E$8,'CSO2001'!_xlnm.Print_Area,11))/(VLOOKUP(B23,'CSO2001'!_xlnm.Print_Area,9)-VLOOKUP(B23+$E$8,'CSO2001'!_xlnm.Print_Area,9))*$E$7,+(VLOOKUP(B23-3,'CSO2001'!_xlnm.Print_Area,11)-VLOOKUP(B23-3+$E$8,'CSO2001'!_xlnm.Print_Area,11))/(VLOOKUP(B23-3,'CSO2001'!_xlnm.Print_Area,9)-VLOOKUP(B23-3+$E$8,'CSO2001'!_xlnm.Print_Area,9))*$E$7)*(1+$E$10)</f>
        <v>1.6393465985665574</v>
      </c>
      <c r="D23" s="48">
        <f t="shared" ref="D23:D69" si="10">+C23/(1-$D$13)</f>
        <v>3.2786931971331148</v>
      </c>
      <c r="E23" s="48">
        <f t="shared" ref="E23:E68" si="11">+$D23*(1+$E$12)</f>
        <v>3.508201720932433</v>
      </c>
      <c r="F23" s="48">
        <f t="shared" ref="F23:F68" si="12">+$D23*(1+$F$12)</f>
        <v>3.475414788961102</v>
      </c>
      <c r="G23" s="48">
        <f t="shared" ref="G23:G68" si="13">+$D23*(1+$G$12)</f>
        <v>3.4098409250184396</v>
      </c>
      <c r="H23" s="48">
        <f t="shared" ref="H23:H68" si="14">+$D23*(1+$H$12)</f>
        <v>3.2786931971331148</v>
      </c>
      <c r="I23" s="48">
        <f t="shared" ref="I23:I68" si="15">+E23/12</f>
        <v>0.2923501434110361</v>
      </c>
      <c r="J23" s="48">
        <f t="shared" ref="J23:J68" si="16">+F23/4</f>
        <v>0.8688536972402755</v>
      </c>
      <c r="K23" s="48">
        <f t="shared" ref="K23:K68" si="17">+G23/2</f>
        <v>1.7049204625092198</v>
      </c>
      <c r="L23" s="48">
        <f t="shared" ref="L23:L68" si="18">+H23</f>
        <v>3.2786931971331148</v>
      </c>
    </row>
    <row r="24" spans="2:13" x14ac:dyDescent="0.2">
      <c r="B24" s="26">
        <f t="shared" si="9"/>
        <v>20</v>
      </c>
      <c r="C24" s="47">
        <f>IF($E$9="H",+(VLOOKUP(B24,'CSO2001'!_xlnm.Print_Area,11)-VLOOKUP(B24+$E$8,'CSO2001'!_xlnm.Print_Area,11))/(VLOOKUP(B24,'CSO2001'!_xlnm.Print_Area,9)-VLOOKUP(B24+$E$8,'CSO2001'!_xlnm.Print_Area,9))*$E$7,+(VLOOKUP(B24-3,'CSO2001'!_xlnm.Print_Area,11)-VLOOKUP(B24-3+$E$8,'CSO2001'!_xlnm.Print_Area,11))/(VLOOKUP(B24-3,'CSO2001'!_xlnm.Print_Area,9)-VLOOKUP(B24-3+$E$8,'CSO2001'!_xlnm.Print_Area,9))*$E$7)*(1+$E$10)</f>
        <v>1.665904648424114</v>
      </c>
      <c r="D24" s="48">
        <f t="shared" si="10"/>
        <v>3.331809296848228</v>
      </c>
      <c r="E24" s="48">
        <f t="shared" si="11"/>
        <v>3.5650359476276043</v>
      </c>
      <c r="F24" s="48">
        <f t="shared" si="12"/>
        <v>3.5317178546591217</v>
      </c>
      <c r="G24" s="48">
        <f t="shared" si="13"/>
        <v>3.4650816687221573</v>
      </c>
      <c r="H24" s="48">
        <f t="shared" si="14"/>
        <v>3.331809296848228</v>
      </c>
      <c r="I24" s="48">
        <f t="shared" si="15"/>
        <v>0.29708632896896703</v>
      </c>
      <c r="J24" s="48">
        <f t="shared" si="16"/>
        <v>0.88292946366478042</v>
      </c>
      <c r="K24" s="48">
        <f t="shared" si="17"/>
        <v>1.7325408343610786</v>
      </c>
      <c r="L24" s="48">
        <f t="shared" si="18"/>
        <v>3.331809296848228</v>
      </c>
      <c r="M24" s="25"/>
    </row>
    <row r="25" spans="2:13" x14ac:dyDescent="0.2">
      <c r="B25" s="26">
        <f t="shared" si="9"/>
        <v>21</v>
      </c>
      <c r="C25" s="47">
        <f>IF($E$9="H",+(VLOOKUP(B25,'CSO2001'!_xlnm.Print_Area,11)-VLOOKUP(B25+$E$8,'CSO2001'!_xlnm.Print_Area,11))/(VLOOKUP(B25,'CSO2001'!_xlnm.Print_Area,9)-VLOOKUP(B25+$E$8,'CSO2001'!_xlnm.Print_Area,9))*$E$7,+(VLOOKUP(B25-3,'CSO2001'!_xlnm.Print_Area,11)-VLOOKUP(B25-3+$E$8,'CSO2001'!_xlnm.Print_Area,11))/(VLOOKUP(B25-3,'CSO2001'!_xlnm.Print_Area,9)-VLOOKUP(B25-3+$E$8,'CSO2001'!_xlnm.Print_Area,9))*$E$7)*(1+$E$10)</f>
        <v>1.6882891451387572</v>
      </c>
      <c r="D25" s="48">
        <f t="shared" si="10"/>
        <v>3.3765782902775143</v>
      </c>
      <c r="E25" s="48">
        <f t="shared" si="11"/>
        <v>3.6129387705969407</v>
      </c>
      <c r="F25" s="48">
        <f t="shared" si="12"/>
        <v>3.5791729876941654</v>
      </c>
      <c r="G25" s="48">
        <f t="shared" si="13"/>
        <v>3.5116414218886152</v>
      </c>
      <c r="H25" s="48">
        <f t="shared" si="14"/>
        <v>3.3765782902775143</v>
      </c>
      <c r="I25" s="48">
        <f t="shared" si="15"/>
        <v>0.30107823088307839</v>
      </c>
      <c r="J25" s="48">
        <f t="shared" si="16"/>
        <v>0.89479324692354134</v>
      </c>
      <c r="K25" s="48">
        <f t="shared" si="17"/>
        <v>1.7558207109443076</v>
      </c>
      <c r="L25" s="48">
        <f t="shared" si="18"/>
        <v>3.3765782902775143</v>
      </c>
    </row>
    <row r="26" spans="2:13" x14ac:dyDescent="0.2">
      <c r="B26" s="26">
        <f t="shared" si="9"/>
        <v>22</v>
      </c>
      <c r="C26" s="47">
        <f>IF($E$9="H",+(VLOOKUP(B26,'CSO2001'!_xlnm.Print_Area,11)-VLOOKUP(B26+$E$8,'CSO2001'!_xlnm.Print_Area,11))/(VLOOKUP(B26,'CSO2001'!_xlnm.Print_Area,9)-VLOOKUP(B26+$E$8,'CSO2001'!_xlnm.Print_Area,9))*$E$7,+(VLOOKUP(B26-3,'CSO2001'!_xlnm.Print_Area,11)-VLOOKUP(B26-3+$E$8,'CSO2001'!_xlnm.Print_Area,11))/(VLOOKUP(B26-3,'CSO2001'!_xlnm.Print_Area,9)-VLOOKUP(B26-3+$E$8,'CSO2001'!_xlnm.Print_Area,9))*$E$7)*(1+$E$10)</f>
        <v>1.7100429524575365</v>
      </c>
      <c r="D26" s="48">
        <f t="shared" si="10"/>
        <v>3.4200859049150729</v>
      </c>
      <c r="E26" s="48">
        <f t="shared" si="11"/>
        <v>3.6594919182591283</v>
      </c>
      <c r="F26" s="48">
        <f t="shared" si="12"/>
        <v>3.6252910592099776</v>
      </c>
      <c r="G26" s="48">
        <f t="shared" si="13"/>
        <v>3.5568893411116758</v>
      </c>
      <c r="H26" s="48">
        <f t="shared" si="14"/>
        <v>3.4200859049150729</v>
      </c>
      <c r="I26" s="48">
        <f t="shared" si="15"/>
        <v>0.30495765985492734</v>
      </c>
      <c r="J26" s="48">
        <f t="shared" si="16"/>
        <v>0.90632276480249441</v>
      </c>
      <c r="K26" s="48">
        <f t="shared" si="17"/>
        <v>1.7784446705558379</v>
      </c>
      <c r="L26" s="48">
        <f t="shared" si="18"/>
        <v>3.4200859049150729</v>
      </c>
    </row>
    <row r="27" spans="2:13" x14ac:dyDescent="0.2">
      <c r="B27" s="26">
        <f t="shared" si="9"/>
        <v>23</v>
      </c>
      <c r="C27" s="47">
        <f>IF($E$9="H",+(VLOOKUP(B27,'CSO2001'!_xlnm.Print_Area,11)-VLOOKUP(B27+$E$8,'CSO2001'!_xlnm.Print_Area,11))/(VLOOKUP(B27,'CSO2001'!_xlnm.Print_Area,9)-VLOOKUP(B27+$E$8,'CSO2001'!_xlnm.Print_Area,9))*$E$7,+(VLOOKUP(B27-3,'CSO2001'!_xlnm.Print_Area,11)-VLOOKUP(B27-3+$E$8,'CSO2001'!_xlnm.Print_Area,11))/(VLOOKUP(B27-3,'CSO2001'!_xlnm.Print_Area,9)-VLOOKUP(B27-3+$E$8,'CSO2001'!_xlnm.Print_Area,9))*$E$7)*(1+$E$10)</f>
        <v>1.7288159103653353</v>
      </c>
      <c r="D27" s="48">
        <f t="shared" si="10"/>
        <v>3.4576318207306707</v>
      </c>
      <c r="E27" s="48">
        <f t="shared" si="11"/>
        <v>3.6996660481818178</v>
      </c>
      <c r="F27" s="48">
        <f t="shared" si="12"/>
        <v>3.6650897299745111</v>
      </c>
      <c r="G27" s="48">
        <f t="shared" si="13"/>
        <v>3.5959370935598978</v>
      </c>
      <c r="H27" s="48">
        <f t="shared" si="14"/>
        <v>3.4576318207306707</v>
      </c>
      <c r="I27" s="48">
        <f t="shared" si="15"/>
        <v>0.3083055040151515</v>
      </c>
      <c r="J27" s="48">
        <f t="shared" si="16"/>
        <v>0.91627243249362778</v>
      </c>
      <c r="K27" s="48">
        <f t="shared" si="17"/>
        <v>1.7979685467799489</v>
      </c>
      <c r="L27" s="48">
        <f t="shared" si="18"/>
        <v>3.4576318207306707</v>
      </c>
    </row>
    <row r="28" spans="2:13" x14ac:dyDescent="0.2">
      <c r="B28" s="26">
        <f t="shared" si="9"/>
        <v>24</v>
      </c>
      <c r="C28" s="47">
        <f>IF($E$9="H",+(VLOOKUP(B28,'CSO2001'!_xlnm.Print_Area,11)-VLOOKUP(B28+$E$8,'CSO2001'!_xlnm.Print_Area,11))/(VLOOKUP(B28,'CSO2001'!_xlnm.Print_Area,9)-VLOOKUP(B28+$E$8,'CSO2001'!_xlnm.Print_Area,9))*$E$7,+(VLOOKUP(B28-3,'CSO2001'!_xlnm.Print_Area,11)-VLOOKUP(B28-3+$E$8,'CSO2001'!_xlnm.Print_Area,11))/(VLOOKUP(B28-3,'CSO2001'!_xlnm.Print_Area,9)-VLOOKUP(B28-3+$E$8,'CSO2001'!_xlnm.Print_Area,9))*$E$7)*(1+$E$10)</f>
        <v>1.74903746006612</v>
      </c>
      <c r="D28" s="48">
        <f t="shared" si="10"/>
        <v>3.4980749201322401</v>
      </c>
      <c r="E28" s="48">
        <f t="shared" si="11"/>
        <v>3.7429401645414972</v>
      </c>
      <c r="F28" s="48">
        <f t="shared" si="12"/>
        <v>3.7079594153401745</v>
      </c>
      <c r="G28" s="48">
        <f t="shared" si="13"/>
        <v>3.6379979169375298</v>
      </c>
      <c r="H28" s="48">
        <f t="shared" si="14"/>
        <v>3.4980749201322401</v>
      </c>
      <c r="I28" s="48">
        <f t="shared" si="15"/>
        <v>0.31191168037845812</v>
      </c>
      <c r="J28" s="48">
        <f t="shared" si="16"/>
        <v>0.92698985383504362</v>
      </c>
      <c r="K28" s="48">
        <f t="shared" si="17"/>
        <v>1.8189989584687649</v>
      </c>
      <c r="L28" s="48">
        <f t="shared" si="18"/>
        <v>3.4980749201322401</v>
      </c>
    </row>
    <row r="29" spans="2:13" x14ac:dyDescent="0.2">
      <c r="B29" s="26">
        <f t="shared" si="9"/>
        <v>25</v>
      </c>
      <c r="C29" s="47">
        <f>IF($E$9="H",+(VLOOKUP(B29,'CSO2001'!_xlnm.Print_Area,11)-VLOOKUP(B29+$E$8,'CSO2001'!_xlnm.Print_Area,11))/(VLOOKUP(B29,'CSO2001'!_xlnm.Print_Area,9)-VLOOKUP(B29+$E$8,'CSO2001'!_xlnm.Print_Area,9))*$E$7,+(VLOOKUP(B29-3,'CSO2001'!_xlnm.Print_Area,11)-VLOOKUP(B29-3+$E$8,'CSO2001'!_xlnm.Print_Area,11))/(VLOOKUP(B29-3,'CSO2001'!_xlnm.Print_Area,9)-VLOOKUP(B29-3+$E$8,'CSO2001'!_xlnm.Print_Area,9))*$E$7)*(1+$E$10)</f>
        <v>1.7702589207984876</v>
      </c>
      <c r="D29" s="48">
        <f t="shared" si="10"/>
        <v>3.5405178415969751</v>
      </c>
      <c r="E29" s="48">
        <f t="shared" si="11"/>
        <v>3.7883540905087636</v>
      </c>
      <c r="F29" s="48">
        <f t="shared" si="12"/>
        <v>3.7529489120927937</v>
      </c>
      <c r="G29" s="48">
        <f t="shared" si="13"/>
        <v>3.6821385552608543</v>
      </c>
      <c r="H29" s="48">
        <f t="shared" si="14"/>
        <v>3.5405178415969751</v>
      </c>
      <c r="I29" s="48">
        <f>+E29/12</f>
        <v>0.31569617420906365</v>
      </c>
      <c r="J29" s="48">
        <f>+F29/4</f>
        <v>0.93823722802319842</v>
      </c>
      <c r="K29" s="48">
        <f>+G29/2</f>
        <v>1.8410692776304272</v>
      </c>
      <c r="L29" s="48">
        <f>+H29</f>
        <v>3.5405178415969751</v>
      </c>
    </row>
    <row r="30" spans="2:13" x14ac:dyDescent="0.2">
      <c r="B30" s="26">
        <f t="shared" si="9"/>
        <v>26</v>
      </c>
      <c r="C30" s="47">
        <f>IF($E$9="H",+(VLOOKUP(B30,'CSO2001'!_xlnm.Print_Area,11)-VLOOKUP(B30+$E$8,'CSO2001'!_xlnm.Print_Area,11))/(VLOOKUP(B30,'CSO2001'!_xlnm.Print_Area,9)-VLOOKUP(B30+$E$8,'CSO2001'!_xlnm.Print_Area,9))*$E$7,+(VLOOKUP(B30-3,'CSO2001'!_xlnm.Print_Area,11)-VLOOKUP(B30-3+$E$8,'CSO2001'!_xlnm.Print_Area,11))/(VLOOKUP(B30-3,'CSO2001'!_xlnm.Print_Area,9)-VLOOKUP(B30-3+$E$8,'CSO2001'!_xlnm.Print_Area,9))*$E$7)*(1+$E$10)</f>
        <v>1.7925112222006292</v>
      </c>
      <c r="D30" s="48">
        <f t="shared" si="10"/>
        <v>3.5850224444012584</v>
      </c>
      <c r="E30" s="48">
        <f t="shared" si="11"/>
        <v>3.8359740155093469</v>
      </c>
      <c r="F30" s="48">
        <f t="shared" si="12"/>
        <v>3.8001237910653343</v>
      </c>
      <c r="G30" s="48">
        <f t="shared" si="13"/>
        <v>3.728423342177309</v>
      </c>
      <c r="H30" s="48">
        <f t="shared" si="14"/>
        <v>3.5850224444012584</v>
      </c>
      <c r="I30" s="48">
        <f t="shared" si="15"/>
        <v>0.31966450129244556</v>
      </c>
      <c r="J30" s="48">
        <f t="shared" si="16"/>
        <v>0.95003094776633357</v>
      </c>
      <c r="K30" s="48">
        <f t="shared" si="17"/>
        <v>1.8642116710886545</v>
      </c>
      <c r="L30" s="48">
        <f t="shared" si="18"/>
        <v>3.5850224444012584</v>
      </c>
    </row>
    <row r="31" spans="2:13" x14ac:dyDescent="0.2">
      <c r="B31" s="26">
        <f t="shared" si="9"/>
        <v>27</v>
      </c>
      <c r="C31" s="47">
        <f>IF($E$9="H",+(VLOOKUP(B31,'CSO2001'!_xlnm.Print_Area,11)-VLOOKUP(B31+$E$8,'CSO2001'!_xlnm.Print_Area,11))/(VLOOKUP(B31,'CSO2001'!_xlnm.Print_Area,9)-VLOOKUP(B31+$E$8,'CSO2001'!_xlnm.Print_Area,9))*$E$7,+(VLOOKUP(B31-3,'CSO2001'!_xlnm.Print_Area,11)-VLOOKUP(B31-3+$E$8,'CSO2001'!_xlnm.Print_Area,11))/(VLOOKUP(B31-3,'CSO2001'!_xlnm.Print_Area,9)-VLOOKUP(B31-3+$E$8,'CSO2001'!_xlnm.Print_Area,9))*$E$7)*(1+$E$10)</f>
        <v>1.8156824986256428</v>
      </c>
      <c r="D31" s="48">
        <f t="shared" si="10"/>
        <v>3.6313649972512856</v>
      </c>
      <c r="E31" s="48">
        <f t="shared" si="11"/>
        <v>3.8855605470588759</v>
      </c>
      <c r="F31" s="48">
        <f t="shared" si="12"/>
        <v>3.8492468970863629</v>
      </c>
      <c r="G31" s="48">
        <f t="shared" si="13"/>
        <v>3.776619597141337</v>
      </c>
      <c r="H31" s="48">
        <f t="shared" si="14"/>
        <v>3.6313649972512856</v>
      </c>
      <c r="I31" s="48">
        <f t="shared" si="15"/>
        <v>0.3237967122549063</v>
      </c>
      <c r="J31" s="48">
        <f t="shared" si="16"/>
        <v>0.96231172427159073</v>
      </c>
      <c r="K31" s="48">
        <f t="shared" si="17"/>
        <v>1.8883097985706685</v>
      </c>
      <c r="L31" s="48">
        <f t="shared" si="18"/>
        <v>3.6313649972512856</v>
      </c>
    </row>
    <row r="32" spans="2:13" x14ac:dyDescent="0.2">
      <c r="B32" s="26">
        <f t="shared" si="9"/>
        <v>28</v>
      </c>
      <c r="C32" s="47">
        <f>IF($E$9="H",+(VLOOKUP(B32,'CSO2001'!_xlnm.Print_Area,11)-VLOOKUP(B32+$E$8,'CSO2001'!_xlnm.Print_Area,11))/(VLOOKUP(B32,'CSO2001'!_xlnm.Print_Area,9)-VLOOKUP(B32+$E$8,'CSO2001'!_xlnm.Print_Area,9))*$E$7,+(VLOOKUP(B32-3,'CSO2001'!_xlnm.Print_Area,11)-VLOOKUP(B32-3+$E$8,'CSO2001'!_xlnm.Print_Area,11))/(VLOOKUP(B32-3,'CSO2001'!_xlnm.Print_Area,9)-VLOOKUP(B32-3+$E$8,'CSO2001'!_xlnm.Print_Area,9))*$E$7)*(1+$E$10)</f>
        <v>1.8384539795561543</v>
      </c>
      <c r="D32" s="48">
        <f t="shared" si="10"/>
        <v>3.6769079591123086</v>
      </c>
      <c r="E32" s="48">
        <f t="shared" si="11"/>
        <v>3.9342915162501706</v>
      </c>
      <c r="F32" s="48">
        <f t="shared" si="12"/>
        <v>3.8975224366590475</v>
      </c>
      <c r="G32" s="48">
        <f t="shared" si="13"/>
        <v>3.8239842774768009</v>
      </c>
      <c r="H32" s="48">
        <f t="shared" si="14"/>
        <v>3.6769079591123086</v>
      </c>
      <c r="I32" s="48">
        <f t="shared" si="15"/>
        <v>0.32785762635418086</v>
      </c>
      <c r="J32" s="48">
        <f t="shared" si="16"/>
        <v>0.97438060916476188</v>
      </c>
      <c r="K32" s="48">
        <f t="shared" si="17"/>
        <v>1.9119921387384005</v>
      </c>
      <c r="L32" s="48">
        <f t="shared" si="18"/>
        <v>3.6769079591123086</v>
      </c>
    </row>
    <row r="33" spans="1:18" x14ac:dyDescent="0.2">
      <c r="B33" s="26">
        <f t="shared" si="9"/>
        <v>29</v>
      </c>
      <c r="C33" s="47">
        <f>IF($E$9="H",+(VLOOKUP(B33,'CSO2001'!_xlnm.Print_Area,11)-VLOOKUP(B33+$E$8,'CSO2001'!_xlnm.Print_Area,11))/(VLOOKUP(B33,'CSO2001'!_xlnm.Print_Area,9)-VLOOKUP(B33+$E$8,'CSO2001'!_xlnm.Print_Area,9))*$E$7,+(VLOOKUP(B33-3,'CSO2001'!_xlnm.Print_Area,11)-VLOOKUP(B33-3+$E$8,'CSO2001'!_xlnm.Print_Area,11))/(VLOOKUP(B33-3,'CSO2001'!_xlnm.Print_Area,9)-VLOOKUP(B33-3+$E$8,'CSO2001'!_xlnm.Print_Area,9))*$E$7)*(1+$E$10)</f>
        <v>1.8753726334571386</v>
      </c>
      <c r="D33" s="48">
        <f t="shared" si="10"/>
        <v>3.7507452669142771</v>
      </c>
      <c r="E33" s="48">
        <f t="shared" si="11"/>
        <v>4.0132974355982771</v>
      </c>
      <c r="F33" s="48">
        <f t="shared" si="12"/>
        <v>3.9757899829291339</v>
      </c>
      <c r="G33" s="48">
        <f t="shared" si="13"/>
        <v>3.9007750775908483</v>
      </c>
      <c r="H33" s="48">
        <f t="shared" si="14"/>
        <v>3.7507452669142771</v>
      </c>
      <c r="I33" s="48">
        <f t="shared" si="15"/>
        <v>0.33444145296652311</v>
      </c>
      <c r="J33" s="48">
        <f t="shared" si="16"/>
        <v>0.99394749573228347</v>
      </c>
      <c r="K33" s="48">
        <f t="shared" si="17"/>
        <v>1.9503875387954241</v>
      </c>
      <c r="L33" s="48">
        <f t="shared" si="18"/>
        <v>3.7507452669142771</v>
      </c>
    </row>
    <row r="34" spans="1:18" x14ac:dyDescent="0.2">
      <c r="A34" s="25"/>
      <c r="B34" s="26">
        <f t="shared" si="9"/>
        <v>30</v>
      </c>
      <c r="C34" s="47">
        <f>IF($E$9="H",+(VLOOKUP(B34,'CSO2001'!_xlnm.Print_Area,11)-VLOOKUP(B34+$E$8,'CSO2001'!_xlnm.Print_Area,11))/(VLOOKUP(B34,'CSO2001'!_xlnm.Print_Area,9)-VLOOKUP(B34+$E$8,'CSO2001'!_xlnm.Print_Area,9))*$E$7,+(VLOOKUP(B34-3,'CSO2001'!_xlnm.Print_Area,11)-VLOOKUP(B34-3+$E$8,'CSO2001'!_xlnm.Print_Area,11))/(VLOOKUP(B34-3,'CSO2001'!_xlnm.Print_Area,9)-VLOOKUP(B34-3+$E$8,'CSO2001'!_xlnm.Print_Area,9))*$E$7)*(1+$E$10)</f>
        <v>1.9305580641495497</v>
      </c>
      <c r="D34" s="48">
        <f t="shared" si="10"/>
        <v>3.8611161282990993</v>
      </c>
      <c r="E34" s="48">
        <f>+$D34*(1+$E$12)</f>
        <v>4.1313942572800366</v>
      </c>
      <c r="F34" s="48">
        <f>+$D34*(1+$F$12)</f>
        <v>4.0927830959970457</v>
      </c>
      <c r="G34" s="48">
        <f>+$D34*(1+$G$12)</f>
        <v>4.0155607734310639</v>
      </c>
      <c r="H34" s="48">
        <f>+$D34*(1+$H$12)</f>
        <v>3.8611161282990993</v>
      </c>
      <c r="I34" s="48">
        <f>+E34/12</f>
        <v>0.34428285477333637</v>
      </c>
      <c r="J34" s="48">
        <f>+F34/4</f>
        <v>1.0231957739992614</v>
      </c>
      <c r="K34" s="48">
        <f>+G34/2</f>
        <v>2.0077803867155319</v>
      </c>
      <c r="L34" s="48">
        <f>+H34</f>
        <v>3.8611161282990993</v>
      </c>
      <c r="M34" s="35"/>
      <c r="N34" s="35"/>
      <c r="O34" s="35"/>
      <c r="P34" s="35"/>
      <c r="Q34" s="35"/>
      <c r="R34" s="35"/>
    </row>
    <row r="35" spans="1:18" x14ac:dyDescent="0.2">
      <c r="B35" s="26">
        <f t="shared" si="9"/>
        <v>31</v>
      </c>
      <c r="C35" s="47">
        <f>IF($E$9="H",+(VLOOKUP(B35,'CSO2001'!_xlnm.Print_Area,11)-VLOOKUP(B35+$E$8,'CSO2001'!_xlnm.Print_Area,11))/(VLOOKUP(B35,'CSO2001'!_xlnm.Print_Area,9)-VLOOKUP(B35+$E$8,'CSO2001'!_xlnm.Print_Area,9))*$E$7,+(VLOOKUP(B35-3,'CSO2001'!_xlnm.Print_Area,11)-VLOOKUP(B35-3+$E$8,'CSO2001'!_xlnm.Print_Area,11))/(VLOOKUP(B35-3,'CSO2001'!_xlnm.Print_Area,9)-VLOOKUP(B35-3+$E$8,'CSO2001'!_xlnm.Print_Area,9))*$E$7)*(1+$E$10)</f>
        <v>2.0040871763459855</v>
      </c>
      <c r="D35" s="48">
        <f t="shared" si="10"/>
        <v>4.0081743526919711</v>
      </c>
      <c r="E35" s="48">
        <f t="shared" si="11"/>
        <v>4.2887465573804091</v>
      </c>
      <c r="F35" s="48">
        <f t="shared" si="12"/>
        <v>4.2486648138534893</v>
      </c>
      <c r="G35" s="48">
        <f t="shared" si="13"/>
        <v>4.1685013267996505</v>
      </c>
      <c r="H35" s="48">
        <f t="shared" si="14"/>
        <v>4.0081743526919711</v>
      </c>
      <c r="I35" s="48">
        <f t="shared" si="15"/>
        <v>0.35739554644836741</v>
      </c>
      <c r="J35" s="48">
        <f t="shared" si="16"/>
        <v>1.0621662034633723</v>
      </c>
      <c r="K35" s="48">
        <f t="shared" si="17"/>
        <v>2.0842506633998252</v>
      </c>
      <c r="L35" s="48">
        <f t="shared" si="18"/>
        <v>4.0081743526919711</v>
      </c>
      <c r="M35" s="35"/>
      <c r="N35" s="35"/>
      <c r="O35" s="35"/>
      <c r="P35" s="35"/>
      <c r="Q35" s="35"/>
      <c r="R35" s="35"/>
    </row>
    <row r="36" spans="1:18" x14ac:dyDescent="0.2">
      <c r="B36" s="26">
        <f t="shared" si="9"/>
        <v>32</v>
      </c>
      <c r="C36" s="47">
        <f>IF($E$9="H",+(VLOOKUP(B36,'CSO2001'!_xlnm.Print_Area,11)-VLOOKUP(B36+$E$8,'CSO2001'!_xlnm.Print_Area,11))/(VLOOKUP(B36,'CSO2001'!_xlnm.Print_Area,9)-VLOOKUP(B36+$E$8,'CSO2001'!_xlnm.Print_Area,9))*$E$7,+(VLOOKUP(B36-3,'CSO2001'!_xlnm.Print_Area,11)-VLOOKUP(B36-3+$E$8,'CSO2001'!_xlnm.Print_Area,11))/(VLOOKUP(B36-3,'CSO2001'!_xlnm.Print_Area,9)-VLOOKUP(B36-3+$E$8,'CSO2001'!_xlnm.Print_Area,9))*$E$7)*(1+$E$10)</f>
        <v>2.1005602057955968</v>
      </c>
      <c r="D36" s="48">
        <f t="shared" si="10"/>
        <v>4.2011204115911935</v>
      </c>
      <c r="E36" s="48">
        <f t="shared" si="11"/>
        <v>4.4951988404025771</v>
      </c>
      <c r="F36" s="48">
        <f t="shared" si="12"/>
        <v>4.4531876362866658</v>
      </c>
      <c r="G36" s="48">
        <f t="shared" si="13"/>
        <v>4.3691652280548414</v>
      </c>
      <c r="H36" s="48">
        <f t="shared" si="14"/>
        <v>4.2011204115911935</v>
      </c>
      <c r="I36" s="48">
        <f t="shared" si="15"/>
        <v>0.37459990336688143</v>
      </c>
      <c r="J36" s="48">
        <f t="shared" si="16"/>
        <v>1.1132969090716665</v>
      </c>
      <c r="K36" s="48">
        <f t="shared" si="17"/>
        <v>2.1845826140274207</v>
      </c>
      <c r="L36" s="48">
        <f t="shared" si="18"/>
        <v>4.2011204115911935</v>
      </c>
      <c r="M36" s="35"/>
      <c r="N36" s="35"/>
      <c r="O36" s="35"/>
      <c r="P36" s="35"/>
      <c r="Q36" s="35"/>
      <c r="R36" s="35"/>
    </row>
    <row r="37" spans="1:18" x14ac:dyDescent="0.2">
      <c r="B37" s="26">
        <f t="shared" si="9"/>
        <v>33</v>
      </c>
      <c r="C37" s="47">
        <f>IF($E$9="H",+(VLOOKUP(B37,'CSO2001'!_xlnm.Print_Area,11)-VLOOKUP(B37+$E$8,'CSO2001'!_xlnm.Print_Area,11))/(VLOOKUP(B37,'CSO2001'!_xlnm.Print_Area,9)-VLOOKUP(B37+$E$8,'CSO2001'!_xlnm.Print_Area,9))*$E$7,+(VLOOKUP(B37-3,'CSO2001'!_xlnm.Print_Area,11)-VLOOKUP(B37-3+$E$8,'CSO2001'!_xlnm.Print_Area,11))/(VLOOKUP(B37-3,'CSO2001'!_xlnm.Print_Area,9)-VLOOKUP(B37-3+$E$8,'CSO2001'!_xlnm.Print_Area,9))*$E$7)*(1+$E$10)</f>
        <v>2.2228808107240043</v>
      </c>
      <c r="D37" s="48">
        <f t="shared" si="10"/>
        <v>4.4457616214480087</v>
      </c>
      <c r="E37" s="48">
        <f t="shared" si="11"/>
        <v>4.7569649349493695</v>
      </c>
      <c r="F37" s="48">
        <f t="shared" si="12"/>
        <v>4.7125073187348896</v>
      </c>
      <c r="G37" s="48">
        <f t="shared" si="13"/>
        <v>4.623592086305929</v>
      </c>
      <c r="H37" s="48">
        <f t="shared" si="14"/>
        <v>4.4457616214480087</v>
      </c>
      <c r="I37" s="48">
        <f t="shared" si="15"/>
        <v>0.3964137445791141</v>
      </c>
      <c r="J37" s="48">
        <f t="shared" si="16"/>
        <v>1.1781268296837224</v>
      </c>
      <c r="K37" s="48">
        <f t="shared" si="17"/>
        <v>2.3117960431529645</v>
      </c>
      <c r="L37" s="48">
        <f t="shared" si="18"/>
        <v>4.4457616214480087</v>
      </c>
      <c r="M37" s="35"/>
      <c r="N37" s="35"/>
      <c r="O37" s="35"/>
      <c r="P37" s="35"/>
      <c r="Q37" s="35"/>
      <c r="R37" s="35"/>
    </row>
    <row r="38" spans="1:18" x14ac:dyDescent="0.2">
      <c r="B38" s="26">
        <f t="shared" si="9"/>
        <v>34</v>
      </c>
      <c r="C38" s="47">
        <f>IF($E$9="H",+(VLOOKUP(B38,'CSO2001'!_xlnm.Print_Area,11)-VLOOKUP(B38+$E$8,'CSO2001'!_xlnm.Print_Area,11))/(VLOOKUP(B38,'CSO2001'!_xlnm.Print_Area,9)-VLOOKUP(B38+$E$8,'CSO2001'!_xlnm.Print_Area,9))*$E$7,+(VLOOKUP(B38-3,'CSO2001'!_xlnm.Print_Area,11)-VLOOKUP(B38-3+$E$8,'CSO2001'!_xlnm.Print_Area,11))/(VLOOKUP(B38-3,'CSO2001'!_xlnm.Print_Area,9)-VLOOKUP(B38-3+$E$8,'CSO2001'!_xlnm.Print_Area,9))*$E$7)*(1+$E$10)</f>
        <v>2.3708605016789077</v>
      </c>
      <c r="D38" s="48">
        <f t="shared" si="10"/>
        <v>4.7417210033578154</v>
      </c>
      <c r="E38" s="48">
        <f t="shared" si="11"/>
        <v>5.073641473592863</v>
      </c>
      <c r="F38" s="48">
        <f t="shared" si="12"/>
        <v>5.0262242635592846</v>
      </c>
      <c r="G38" s="48">
        <f t="shared" si="13"/>
        <v>4.9313898434921279</v>
      </c>
      <c r="H38" s="48">
        <f t="shared" si="14"/>
        <v>4.7417210033578154</v>
      </c>
      <c r="I38" s="48">
        <f t="shared" si="15"/>
        <v>0.42280345613273856</v>
      </c>
      <c r="J38" s="48">
        <f t="shared" si="16"/>
        <v>1.2565560658898212</v>
      </c>
      <c r="K38" s="48">
        <f t="shared" si="17"/>
        <v>2.465694921746064</v>
      </c>
      <c r="L38" s="48">
        <f t="shared" si="18"/>
        <v>4.7417210033578154</v>
      </c>
      <c r="M38" s="35"/>
      <c r="N38" s="35"/>
      <c r="O38" s="35"/>
      <c r="P38" s="35"/>
      <c r="Q38" s="35"/>
      <c r="R38" s="35"/>
    </row>
    <row r="39" spans="1:18" x14ac:dyDescent="0.2">
      <c r="B39" s="26">
        <f t="shared" si="9"/>
        <v>35</v>
      </c>
      <c r="C39" s="47">
        <f>IF($E$9="H",+(VLOOKUP(B39,'CSO2001'!_xlnm.Print_Area,11)-VLOOKUP(B39+$E$8,'CSO2001'!_xlnm.Print_Area,11))/(VLOOKUP(B39,'CSO2001'!_xlnm.Print_Area,9)-VLOOKUP(B39+$E$8,'CSO2001'!_xlnm.Print_Area,9))*$E$7,+(VLOOKUP(B39-3,'CSO2001'!_xlnm.Print_Area,11)-VLOOKUP(B39-3+$E$8,'CSO2001'!_xlnm.Print_Area,11))/(VLOOKUP(B39-3,'CSO2001'!_xlnm.Print_Area,9)-VLOOKUP(B39-3+$E$8,'CSO2001'!_xlnm.Print_Area,9))*$E$7)*(1+$E$10)</f>
        <v>2.5501532530340412</v>
      </c>
      <c r="D39" s="48">
        <f t="shared" si="10"/>
        <v>5.1003065060680823</v>
      </c>
      <c r="E39" s="48">
        <f>+$D39*(1+$E$12)</f>
        <v>5.4573279614928483</v>
      </c>
      <c r="F39" s="48">
        <f>+$D39*(1+$F$12)</f>
        <v>5.4063248964321673</v>
      </c>
      <c r="G39" s="48">
        <f>+$D39*(1+$G$12)</f>
        <v>5.3043187663108062</v>
      </c>
      <c r="H39" s="48">
        <f>+$D39*(1+$H$12)</f>
        <v>5.1003065060680823</v>
      </c>
      <c r="I39" s="48">
        <f>+E39/12</f>
        <v>0.45477733012440402</v>
      </c>
      <c r="J39" s="48">
        <f>+F39/4</f>
        <v>1.3515812241080418</v>
      </c>
      <c r="K39" s="48">
        <f>+G39/2</f>
        <v>2.6521593831554031</v>
      </c>
      <c r="L39" s="48">
        <f>+H39</f>
        <v>5.1003065060680823</v>
      </c>
      <c r="M39" s="35"/>
      <c r="N39" s="35"/>
      <c r="O39" s="35"/>
      <c r="P39" s="35"/>
      <c r="Q39" s="35"/>
      <c r="R39" s="35"/>
    </row>
    <row r="40" spans="1:18" x14ac:dyDescent="0.2">
      <c r="B40" s="26">
        <f t="shared" si="9"/>
        <v>36</v>
      </c>
      <c r="C40" s="47">
        <f>IF($E$9="H",+(VLOOKUP(B40,'CSO2001'!_xlnm.Print_Area,11)-VLOOKUP(B40+$E$8,'CSO2001'!_xlnm.Print_Area,11))/(VLOOKUP(B40,'CSO2001'!_xlnm.Print_Area,9)-VLOOKUP(B40+$E$8,'CSO2001'!_xlnm.Print_Area,9))*$E$7,+(VLOOKUP(B40-3,'CSO2001'!_xlnm.Print_Area,11)-VLOOKUP(B40-3+$E$8,'CSO2001'!_xlnm.Print_Area,11))/(VLOOKUP(B40-3,'CSO2001'!_xlnm.Print_Area,9)-VLOOKUP(B40-3+$E$8,'CSO2001'!_xlnm.Print_Area,9))*$E$7)*(1+$E$10)</f>
        <v>2.7644139049704952</v>
      </c>
      <c r="D40" s="48">
        <f t="shared" si="10"/>
        <v>5.5288278099409904</v>
      </c>
      <c r="E40" s="48">
        <f t="shared" si="11"/>
        <v>5.9158457566368599</v>
      </c>
      <c r="F40" s="48">
        <f t="shared" si="12"/>
        <v>5.8605574785374506</v>
      </c>
      <c r="G40" s="48">
        <f t="shared" si="13"/>
        <v>5.7499809223386302</v>
      </c>
      <c r="H40" s="48">
        <f t="shared" si="14"/>
        <v>5.5288278099409904</v>
      </c>
      <c r="I40" s="48">
        <f t="shared" si="15"/>
        <v>0.49298714638640501</v>
      </c>
      <c r="J40" s="48">
        <f t="shared" si="16"/>
        <v>1.4651393696343626</v>
      </c>
      <c r="K40" s="48">
        <f t="shared" si="17"/>
        <v>2.8749904611693151</v>
      </c>
      <c r="L40" s="48">
        <f t="shared" si="18"/>
        <v>5.5288278099409904</v>
      </c>
      <c r="M40" s="35"/>
      <c r="N40" s="35"/>
      <c r="O40" s="35"/>
      <c r="P40" s="35"/>
      <c r="Q40" s="35"/>
      <c r="R40" s="35"/>
    </row>
    <row r="41" spans="1:18" x14ac:dyDescent="0.2">
      <c r="B41" s="26">
        <f t="shared" si="9"/>
        <v>37</v>
      </c>
      <c r="C41" s="47">
        <f>IF($E$9="H",+(VLOOKUP(B41,'CSO2001'!_xlnm.Print_Area,11)-VLOOKUP(B41+$E$8,'CSO2001'!_xlnm.Print_Area,11))/(VLOOKUP(B41,'CSO2001'!_xlnm.Print_Area,9)-VLOOKUP(B41+$E$8,'CSO2001'!_xlnm.Print_Area,9))*$E$7,+(VLOOKUP(B41-3,'CSO2001'!_xlnm.Print_Area,11)-VLOOKUP(B41-3+$E$8,'CSO2001'!_xlnm.Print_Area,11))/(VLOOKUP(B41-3,'CSO2001'!_xlnm.Print_Area,9)-VLOOKUP(B41-3+$E$8,'CSO2001'!_xlnm.Print_Area,9))*$E$7)*(1+$E$10)</f>
        <v>3.0060423604225002</v>
      </c>
      <c r="D41" s="48">
        <f t="shared" si="10"/>
        <v>6.0120847208450003</v>
      </c>
      <c r="E41" s="48">
        <f t="shared" si="11"/>
        <v>6.4329306513041509</v>
      </c>
      <c r="F41" s="48">
        <f t="shared" si="12"/>
        <v>6.3728098040957004</v>
      </c>
      <c r="G41" s="48">
        <f t="shared" si="13"/>
        <v>6.2525681096788004</v>
      </c>
      <c r="H41" s="48">
        <f t="shared" si="14"/>
        <v>6.0120847208450003</v>
      </c>
      <c r="I41" s="48">
        <f t="shared" si="15"/>
        <v>0.53607755427534587</v>
      </c>
      <c r="J41" s="48">
        <f t="shared" si="16"/>
        <v>1.5932024510239251</v>
      </c>
      <c r="K41" s="48">
        <f t="shared" si="17"/>
        <v>3.1262840548394002</v>
      </c>
      <c r="L41" s="48">
        <f t="shared" si="18"/>
        <v>6.0120847208450003</v>
      </c>
      <c r="M41" s="35"/>
      <c r="N41" s="35"/>
      <c r="O41" s="35"/>
      <c r="P41" s="35"/>
      <c r="Q41" s="35"/>
      <c r="R41" s="35"/>
    </row>
    <row r="42" spans="1:18" x14ac:dyDescent="0.2">
      <c r="B42" s="26">
        <f t="shared" si="9"/>
        <v>38</v>
      </c>
      <c r="C42" s="47">
        <f>IF($E$9="H",+(VLOOKUP(B42,'CSO2001'!_xlnm.Print_Area,11)-VLOOKUP(B42+$E$8,'CSO2001'!_xlnm.Print_Area,11))/(VLOOKUP(B42,'CSO2001'!_xlnm.Print_Area,9)-VLOOKUP(B42+$E$8,'CSO2001'!_xlnm.Print_Area,9))*$E$7,+(VLOOKUP(B42-3,'CSO2001'!_xlnm.Print_Area,11)-VLOOKUP(B42-3+$E$8,'CSO2001'!_xlnm.Print_Area,11))/(VLOOKUP(B42-3,'CSO2001'!_xlnm.Print_Area,9)-VLOOKUP(B42-3+$E$8,'CSO2001'!_xlnm.Print_Area,9))*$E$7)*(1+$E$10)</f>
        <v>3.2804288264832211</v>
      </c>
      <c r="D42" s="48">
        <f t="shared" si="10"/>
        <v>6.5608576529664422</v>
      </c>
      <c r="E42" s="48">
        <f t="shared" si="11"/>
        <v>7.0201176886740937</v>
      </c>
      <c r="F42" s="48">
        <f t="shared" si="12"/>
        <v>6.9545091121444287</v>
      </c>
      <c r="G42" s="48">
        <f t="shared" si="13"/>
        <v>6.8232919590851004</v>
      </c>
      <c r="H42" s="48">
        <f t="shared" si="14"/>
        <v>6.5608576529664422</v>
      </c>
      <c r="I42" s="48">
        <f t="shared" si="15"/>
        <v>0.58500980738950781</v>
      </c>
      <c r="J42" s="48">
        <f t="shared" si="16"/>
        <v>1.7386272780361072</v>
      </c>
      <c r="K42" s="48">
        <f t="shared" si="17"/>
        <v>3.4116459795425502</v>
      </c>
      <c r="L42" s="48">
        <f t="shared" si="18"/>
        <v>6.5608576529664422</v>
      </c>
      <c r="M42" s="35"/>
      <c r="N42" s="35"/>
      <c r="O42" s="35"/>
      <c r="P42" s="35"/>
      <c r="Q42" s="35"/>
      <c r="R42" s="35"/>
    </row>
    <row r="43" spans="1:18" x14ac:dyDescent="0.2">
      <c r="B43" s="26">
        <f t="shared" si="9"/>
        <v>39</v>
      </c>
      <c r="C43" s="47">
        <f>IF($E$9="H",+(VLOOKUP(B43,'CSO2001'!_xlnm.Print_Area,11)-VLOOKUP(B43+$E$8,'CSO2001'!_xlnm.Print_Area,11))/(VLOOKUP(B43,'CSO2001'!_xlnm.Print_Area,9)-VLOOKUP(B43+$E$8,'CSO2001'!_xlnm.Print_Area,9))*$E$7,+(VLOOKUP(B43-3,'CSO2001'!_xlnm.Print_Area,11)-VLOOKUP(B43-3+$E$8,'CSO2001'!_xlnm.Print_Area,11))/(VLOOKUP(B43-3,'CSO2001'!_xlnm.Print_Area,9)-VLOOKUP(B43-3+$E$8,'CSO2001'!_xlnm.Print_Area,9))*$E$7)*(1+$E$10)</f>
        <v>3.5666356629402762</v>
      </c>
      <c r="D43" s="48">
        <f t="shared" si="10"/>
        <v>7.1332713258805525</v>
      </c>
      <c r="E43" s="48">
        <f t="shared" si="11"/>
        <v>7.6326003186921918</v>
      </c>
      <c r="F43" s="48">
        <f t="shared" si="12"/>
        <v>7.5612676054333861</v>
      </c>
      <c r="G43" s="48">
        <f t="shared" si="13"/>
        <v>7.4186021789157746</v>
      </c>
      <c r="H43" s="48">
        <f t="shared" si="14"/>
        <v>7.1332713258805525</v>
      </c>
      <c r="I43" s="48">
        <f t="shared" si="15"/>
        <v>0.63605002655768261</v>
      </c>
      <c r="J43" s="48">
        <f t="shared" si="16"/>
        <v>1.8903169013583465</v>
      </c>
      <c r="K43" s="48">
        <f t="shared" si="17"/>
        <v>3.7093010894578873</v>
      </c>
      <c r="L43" s="48">
        <f t="shared" si="18"/>
        <v>7.1332713258805525</v>
      </c>
      <c r="M43" s="35"/>
      <c r="N43" s="35"/>
      <c r="O43" s="35"/>
      <c r="P43" s="35"/>
      <c r="Q43" s="35"/>
      <c r="R43" s="35"/>
    </row>
    <row r="44" spans="1:18" x14ac:dyDescent="0.2">
      <c r="B44" s="26">
        <f t="shared" si="9"/>
        <v>40</v>
      </c>
      <c r="C44" s="47">
        <f>IF($E$9="H",+(VLOOKUP(B44,'CSO2001'!_xlnm.Print_Area,11)-VLOOKUP(B44+$E$8,'CSO2001'!_xlnm.Print_Area,11))/(VLOOKUP(B44,'CSO2001'!_xlnm.Print_Area,9)-VLOOKUP(B44+$E$8,'CSO2001'!_xlnm.Print_Area,9))*$E$7,+(VLOOKUP(B44-3,'CSO2001'!_xlnm.Print_Area,11)-VLOOKUP(B44-3+$E$8,'CSO2001'!_xlnm.Print_Area,11))/(VLOOKUP(B44-3,'CSO2001'!_xlnm.Print_Area,9)-VLOOKUP(B44-3+$E$8,'CSO2001'!_xlnm.Print_Area,9))*$E$7)*(1+$E$10)</f>
        <v>3.8691121554472541</v>
      </c>
      <c r="D44" s="48">
        <f t="shared" si="10"/>
        <v>7.7382243108945081</v>
      </c>
      <c r="E44" s="48">
        <f>+$D44*(1+$E$12)</f>
        <v>8.2799000126571247</v>
      </c>
      <c r="F44" s="48">
        <f>+$D44*(1+$F$12)</f>
        <v>8.2025177695481784</v>
      </c>
      <c r="G44" s="48">
        <f>+$D44*(1+$G$12)</f>
        <v>8.0477532833302892</v>
      </c>
      <c r="H44" s="48">
        <f>+$D44*(1+$H$12)</f>
        <v>7.7382243108945081</v>
      </c>
      <c r="I44" s="48">
        <f>+E44/12</f>
        <v>0.68999166772142706</v>
      </c>
      <c r="J44" s="48">
        <f>+F44/4</f>
        <v>2.0506294423870446</v>
      </c>
      <c r="K44" s="48">
        <f>+G44/2</f>
        <v>4.0238766416651446</v>
      </c>
      <c r="L44" s="48">
        <f>+H44</f>
        <v>7.7382243108945081</v>
      </c>
      <c r="M44" s="35"/>
      <c r="N44" s="35"/>
      <c r="O44" s="35"/>
      <c r="P44" s="35"/>
      <c r="Q44" s="35"/>
      <c r="R44" s="35"/>
    </row>
    <row r="45" spans="1:18" x14ac:dyDescent="0.2">
      <c r="B45" s="26">
        <f t="shared" si="9"/>
        <v>41</v>
      </c>
      <c r="C45" s="47">
        <f>IF($E$9="H",+(VLOOKUP(B45,'CSO2001'!_xlnm.Print_Area,11)-VLOOKUP(B45+$E$8,'CSO2001'!_xlnm.Print_Area,11))/(VLOOKUP(B45,'CSO2001'!_xlnm.Print_Area,9)-VLOOKUP(B45+$E$8,'CSO2001'!_xlnm.Print_Area,9))*$E$7,+(VLOOKUP(B45-3,'CSO2001'!_xlnm.Print_Area,11)-VLOOKUP(B45-3+$E$8,'CSO2001'!_xlnm.Print_Area,11))/(VLOOKUP(B45-3,'CSO2001'!_xlnm.Print_Area,9)-VLOOKUP(B45-3+$E$8,'CSO2001'!_xlnm.Print_Area,9))*$E$7)*(1+$E$10)</f>
        <v>4.1932493485278366</v>
      </c>
      <c r="D45" s="48">
        <f t="shared" si="10"/>
        <v>8.3864986970556732</v>
      </c>
      <c r="E45" s="48">
        <f t="shared" si="11"/>
        <v>8.9735536058495704</v>
      </c>
      <c r="F45" s="48">
        <f t="shared" si="12"/>
        <v>8.8896886188790134</v>
      </c>
      <c r="G45" s="48">
        <f t="shared" si="13"/>
        <v>8.7219586449379012</v>
      </c>
      <c r="H45" s="48">
        <f t="shared" si="14"/>
        <v>8.3864986970556732</v>
      </c>
      <c r="I45" s="48">
        <f t="shared" si="15"/>
        <v>0.74779613382079757</v>
      </c>
      <c r="J45" s="48">
        <f t="shared" si="16"/>
        <v>2.2224221547197534</v>
      </c>
      <c r="K45" s="48">
        <f t="shared" si="17"/>
        <v>4.3609793224689506</v>
      </c>
      <c r="L45" s="48">
        <f t="shared" si="18"/>
        <v>8.3864986970556732</v>
      </c>
      <c r="M45" s="35"/>
      <c r="N45" s="35"/>
      <c r="O45" s="35"/>
      <c r="P45" s="35"/>
      <c r="Q45" s="35"/>
      <c r="R45" s="35"/>
    </row>
    <row r="46" spans="1:18" x14ac:dyDescent="0.2">
      <c r="B46" s="26">
        <f t="shared" si="9"/>
        <v>42</v>
      </c>
      <c r="C46" s="47">
        <f>IF($E$9="H",+(VLOOKUP(B46,'CSO2001'!_xlnm.Print_Area,11)-VLOOKUP(B46+$E$8,'CSO2001'!_xlnm.Print_Area,11))/(VLOOKUP(B46,'CSO2001'!_xlnm.Print_Area,9)-VLOOKUP(B46+$E$8,'CSO2001'!_xlnm.Print_Area,9))*$E$7,+(VLOOKUP(B46-3,'CSO2001'!_xlnm.Print_Area,11)-VLOOKUP(B46-3+$E$8,'CSO2001'!_xlnm.Print_Area,11))/(VLOOKUP(B46-3,'CSO2001'!_xlnm.Print_Area,9)-VLOOKUP(B46-3+$E$8,'CSO2001'!_xlnm.Print_Area,9))*$E$7)*(1+$E$10)</f>
        <v>4.5422031660161624</v>
      </c>
      <c r="D46" s="48">
        <f t="shared" si="10"/>
        <v>9.0844063320323247</v>
      </c>
      <c r="E46" s="48">
        <f t="shared" si="11"/>
        <v>9.7203147752745878</v>
      </c>
      <c r="F46" s="48">
        <f t="shared" si="12"/>
        <v>9.629470711954264</v>
      </c>
      <c r="G46" s="48">
        <f t="shared" si="13"/>
        <v>9.4477825853136181</v>
      </c>
      <c r="H46" s="48">
        <f t="shared" si="14"/>
        <v>9.0844063320323247</v>
      </c>
      <c r="I46" s="48">
        <f t="shared" si="15"/>
        <v>0.81002623127288231</v>
      </c>
      <c r="J46" s="48">
        <f t="shared" si="16"/>
        <v>2.407367677988566</v>
      </c>
      <c r="K46" s="48">
        <f t="shared" si="17"/>
        <v>4.7238912926568091</v>
      </c>
      <c r="L46" s="48">
        <f t="shared" si="18"/>
        <v>9.0844063320323247</v>
      </c>
      <c r="M46" s="35"/>
      <c r="N46" s="35"/>
      <c r="O46" s="35"/>
      <c r="P46" s="35"/>
      <c r="Q46" s="35"/>
      <c r="R46" s="35"/>
    </row>
    <row r="47" spans="1:18" x14ac:dyDescent="0.2">
      <c r="B47" s="26">
        <f t="shared" si="9"/>
        <v>43</v>
      </c>
      <c r="C47" s="47">
        <f>IF($E$9="H",+(VLOOKUP(B47,'CSO2001'!_xlnm.Print_Area,11)-VLOOKUP(B47+$E$8,'CSO2001'!_xlnm.Print_Area,11))/(VLOOKUP(B47,'CSO2001'!_xlnm.Print_Area,9)-VLOOKUP(B47+$E$8,'CSO2001'!_xlnm.Print_Area,9))*$E$7,+(VLOOKUP(B47-3,'CSO2001'!_xlnm.Print_Area,11)-VLOOKUP(B47-3+$E$8,'CSO2001'!_xlnm.Print_Area,11))/(VLOOKUP(B47-3,'CSO2001'!_xlnm.Print_Area,9)-VLOOKUP(B47-3+$E$8,'CSO2001'!_xlnm.Print_Area,9))*$E$7)*(1+$E$10)</f>
        <v>4.9257814131017712</v>
      </c>
      <c r="D47" s="48">
        <f t="shared" si="10"/>
        <v>9.8515628262035424</v>
      </c>
      <c r="E47" s="48">
        <f t="shared" si="11"/>
        <v>10.541172224037791</v>
      </c>
      <c r="F47" s="48">
        <f t="shared" si="12"/>
        <v>10.442656595775755</v>
      </c>
      <c r="G47" s="48">
        <f t="shared" si="13"/>
        <v>10.245625339251685</v>
      </c>
      <c r="H47" s="48">
        <f t="shared" si="14"/>
        <v>9.8515628262035424</v>
      </c>
      <c r="I47" s="48">
        <f t="shared" si="15"/>
        <v>0.87843101866981588</v>
      </c>
      <c r="J47" s="48">
        <f t="shared" si="16"/>
        <v>2.6106641489439388</v>
      </c>
      <c r="K47" s="48">
        <f t="shared" si="17"/>
        <v>5.1228126696258425</v>
      </c>
      <c r="L47" s="48">
        <f t="shared" si="18"/>
        <v>9.8515628262035424</v>
      </c>
      <c r="M47" s="35"/>
      <c r="N47" s="35"/>
      <c r="O47" s="35"/>
      <c r="P47" s="35"/>
      <c r="Q47" s="35"/>
      <c r="R47" s="35"/>
    </row>
    <row r="48" spans="1:18" x14ac:dyDescent="0.2">
      <c r="B48" s="26">
        <f t="shared" si="9"/>
        <v>44</v>
      </c>
      <c r="C48" s="47">
        <f>IF($E$9="H",+(VLOOKUP(B48,'CSO2001'!_xlnm.Print_Area,11)-VLOOKUP(B48+$E$8,'CSO2001'!_xlnm.Print_Area,11))/(VLOOKUP(B48,'CSO2001'!_xlnm.Print_Area,9)-VLOOKUP(B48+$E$8,'CSO2001'!_xlnm.Print_Area,9))*$E$7,+(VLOOKUP(B48-3,'CSO2001'!_xlnm.Print_Area,11)-VLOOKUP(B48-3+$E$8,'CSO2001'!_xlnm.Print_Area,11))/(VLOOKUP(B48-3,'CSO2001'!_xlnm.Print_Area,9)-VLOOKUP(B48-3+$E$8,'CSO2001'!_xlnm.Print_Area,9))*$E$7)*(1+$E$10)</f>
        <v>5.3479745148985796</v>
      </c>
      <c r="D48" s="48">
        <f t="shared" si="10"/>
        <v>10.695949029797159</v>
      </c>
      <c r="E48" s="48">
        <f t="shared" si="11"/>
        <v>11.444665461882961</v>
      </c>
      <c r="F48" s="48">
        <f t="shared" si="12"/>
        <v>11.33770597158499</v>
      </c>
      <c r="G48" s="48">
        <f t="shared" si="13"/>
        <v>11.123786990989046</v>
      </c>
      <c r="H48" s="48">
        <f t="shared" si="14"/>
        <v>10.695949029797159</v>
      </c>
      <c r="I48" s="48">
        <f t="shared" si="15"/>
        <v>0.95372212182358007</v>
      </c>
      <c r="J48" s="48">
        <f t="shared" si="16"/>
        <v>2.8344264928962475</v>
      </c>
      <c r="K48" s="48">
        <f t="shared" si="17"/>
        <v>5.5618934954945232</v>
      </c>
      <c r="L48" s="48">
        <f t="shared" si="18"/>
        <v>10.695949029797159</v>
      </c>
      <c r="M48" s="35"/>
      <c r="N48" s="35"/>
      <c r="O48" s="35"/>
      <c r="P48" s="35"/>
      <c r="Q48" s="35"/>
      <c r="R48" s="35"/>
    </row>
    <row r="49" spans="2:18" x14ac:dyDescent="0.2">
      <c r="B49" s="26">
        <f t="shared" si="9"/>
        <v>45</v>
      </c>
      <c r="C49" s="47">
        <f>IF($E$9="H",+(VLOOKUP(B49,'CSO2001'!_xlnm.Print_Area,11)-VLOOKUP(B49+$E$8,'CSO2001'!_xlnm.Print_Area,11))/(VLOOKUP(B49,'CSO2001'!_xlnm.Print_Area,9)-VLOOKUP(B49+$E$8,'CSO2001'!_xlnm.Print_Area,9))*$E$7,+(VLOOKUP(B49-3,'CSO2001'!_xlnm.Print_Area,11)-VLOOKUP(B49-3+$E$8,'CSO2001'!_xlnm.Print_Area,11))/(VLOOKUP(B49-3,'CSO2001'!_xlnm.Print_Area,9)-VLOOKUP(B49-3+$E$8,'CSO2001'!_xlnm.Print_Area,9))*$E$7)*(1+$E$10)</f>
        <v>5.8151478349837387</v>
      </c>
      <c r="D49" s="48">
        <f t="shared" si="10"/>
        <v>11.630295669967477</v>
      </c>
      <c r="E49" s="48">
        <f>+$D49*(1+$E$12)</f>
        <v>12.444416366865202</v>
      </c>
      <c r="F49" s="48">
        <f>+$D49*(1+$F$12)</f>
        <v>12.328113410165527</v>
      </c>
      <c r="G49" s="48">
        <f>+$D49*(1+$G$12)</f>
        <v>12.095507496766176</v>
      </c>
      <c r="H49" s="48">
        <f>+$D49*(1+$H$12)</f>
        <v>11.630295669967477</v>
      </c>
      <c r="I49" s="48">
        <f>+E49/12</f>
        <v>1.0370346972387667</v>
      </c>
      <c r="J49" s="48">
        <f>+F49/4</f>
        <v>3.0820283525413816</v>
      </c>
      <c r="K49" s="48">
        <f>+G49/2</f>
        <v>6.0477537483830881</v>
      </c>
      <c r="L49" s="48">
        <f>+H49</f>
        <v>11.630295669967477</v>
      </c>
      <c r="M49" s="35"/>
      <c r="N49" s="35"/>
      <c r="O49" s="35"/>
      <c r="P49" s="35"/>
      <c r="Q49" s="35"/>
      <c r="R49" s="35"/>
    </row>
    <row r="50" spans="2:18" x14ac:dyDescent="0.2">
      <c r="B50" s="26">
        <f t="shared" si="9"/>
        <v>46</v>
      </c>
      <c r="C50" s="47">
        <f>IF($E$9="H",+(VLOOKUP(B50,'CSO2001'!_xlnm.Print_Area,11)-VLOOKUP(B50+$E$8,'CSO2001'!_xlnm.Print_Area,11))/(VLOOKUP(B50,'CSO2001'!_xlnm.Print_Area,9)-VLOOKUP(B50+$E$8,'CSO2001'!_xlnm.Print_Area,9))*$E$7,+(VLOOKUP(B50-3,'CSO2001'!_xlnm.Print_Area,11)-VLOOKUP(B50-3+$E$8,'CSO2001'!_xlnm.Print_Area,11))/(VLOOKUP(B50-3,'CSO2001'!_xlnm.Print_Area,9)-VLOOKUP(B50-3+$E$8,'CSO2001'!_xlnm.Print_Area,9))*$E$7)*(1+$E$10)</f>
        <v>6.3380154353005906</v>
      </c>
      <c r="D50" s="48">
        <f t="shared" si="10"/>
        <v>12.676030870601181</v>
      </c>
      <c r="E50" s="48">
        <f t="shared" si="11"/>
        <v>13.563353031543265</v>
      </c>
      <c r="F50" s="48">
        <f t="shared" si="12"/>
        <v>13.436592722837252</v>
      </c>
      <c r="G50" s="48">
        <f t="shared" si="13"/>
        <v>13.183072105425229</v>
      </c>
      <c r="H50" s="48">
        <f t="shared" si="14"/>
        <v>12.676030870601181</v>
      </c>
      <c r="I50" s="48">
        <f t="shared" si="15"/>
        <v>1.1302794192952721</v>
      </c>
      <c r="J50" s="48">
        <f t="shared" si="16"/>
        <v>3.3591481807093131</v>
      </c>
      <c r="K50" s="48">
        <f t="shared" si="17"/>
        <v>6.5915360527126143</v>
      </c>
      <c r="L50" s="48">
        <f t="shared" si="18"/>
        <v>12.676030870601181</v>
      </c>
      <c r="M50" s="35"/>
      <c r="N50" s="35"/>
      <c r="O50" s="35"/>
      <c r="P50" s="35"/>
      <c r="Q50" s="35"/>
      <c r="R50" s="35"/>
    </row>
    <row r="51" spans="2:18" x14ac:dyDescent="0.2">
      <c r="B51" s="26">
        <f t="shared" si="9"/>
        <v>47</v>
      </c>
      <c r="C51" s="47">
        <f>IF($E$9="H",+(VLOOKUP(B51,'CSO2001'!_xlnm.Print_Area,11)-VLOOKUP(B51+$E$8,'CSO2001'!_xlnm.Print_Area,11))/(VLOOKUP(B51,'CSO2001'!_xlnm.Print_Area,9)-VLOOKUP(B51+$E$8,'CSO2001'!_xlnm.Print_Area,9))*$E$7,+(VLOOKUP(B51-3,'CSO2001'!_xlnm.Print_Area,11)-VLOOKUP(B51-3+$E$8,'CSO2001'!_xlnm.Print_Area,11))/(VLOOKUP(B51-3,'CSO2001'!_xlnm.Print_Area,9)-VLOOKUP(B51-3+$E$8,'CSO2001'!_xlnm.Print_Area,9))*$E$7)*(1+$E$10)</f>
        <v>6.9253194921687502</v>
      </c>
      <c r="D51" s="48">
        <f t="shared" si="10"/>
        <v>13.8506389843375</v>
      </c>
      <c r="E51" s="48">
        <f t="shared" si="11"/>
        <v>14.820183713241127</v>
      </c>
      <c r="F51" s="48">
        <f t="shared" si="12"/>
        <v>14.681677323397752</v>
      </c>
      <c r="G51" s="48">
        <f t="shared" si="13"/>
        <v>14.404664543711</v>
      </c>
      <c r="H51" s="48">
        <f t="shared" si="14"/>
        <v>13.8506389843375</v>
      </c>
      <c r="I51" s="48">
        <f t="shared" si="15"/>
        <v>1.2350153094367606</v>
      </c>
      <c r="J51" s="48">
        <f t="shared" si="16"/>
        <v>3.6704193308494379</v>
      </c>
      <c r="K51" s="48">
        <f t="shared" si="17"/>
        <v>7.2023322718555001</v>
      </c>
      <c r="L51" s="48">
        <f t="shared" si="18"/>
        <v>13.8506389843375</v>
      </c>
      <c r="M51" s="35"/>
      <c r="N51" s="35"/>
      <c r="O51" s="35"/>
      <c r="P51" s="35"/>
      <c r="Q51" s="35"/>
      <c r="R51" s="35"/>
    </row>
    <row r="52" spans="2:18" x14ac:dyDescent="0.2">
      <c r="B52" s="26">
        <f t="shared" si="9"/>
        <v>48</v>
      </c>
      <c r="C52" s="47">
        <f>IF($E$9="H",+(VLOOKUP(B52,'CSO2001'!_xlnm.Print_Area,11)-VLOOKUP(B52+$E$8,'CSO2001'!_xlnm.Print_Area,11))/(VLOOKUP(B52,'CSO2001'!_xlnm.Print_Area,9)-VLOOKUP(B52+$E$8,'CSO2001'!_xlnm.Print_Area,9))*$E$7,+(VLOOKUP(B52-3,'CSO2001'!_xlnm.Print_Area,11)-VLOOKUP(B52-3+$E$8,'CSO2001'!_xlnm.Print_Area,11))/(VLOOKUP(B52-3,'CSO2001'!_xlnm.Print_Area,9)-VLOOKUP(B52-3+$E$8,'CSO2001'!_xlnm.Print_Area,9))*$E$7)*(1+$E$10)</f>
        <v>7.5817896182432412</v>
      </c>
      <c r="D52" s="48">
        <f t="shared" si="10"/>
        <v>15.163579236486482</v>
      </c>
      <c r="E52" s="48">
        <f t="shared" si="11"/>
        <v>16.225029783040537</v>
      </c>
      <c r="F52" s="48">
        <f t="shared" si="12"/>
        <v>16.073393990675672</v>
      </c>
      <c r="G52" s="48">
        <f t="shared" si="13"/>
        <v>15.770122405945942</v>
      </c>
      <c r="H52" s="48">
        <f t="shared" si="14"/>
        <v>15.163579236486482</v>
      </c>
      <c r="I52" s="48">
        <f t="shared" si="15"/>
        <v>1.3520858152533781</v>
      </c>
      <c r="J52" s="48">
        <f t="shared" si="16"/>
        <v>4.0183484976689181</v>
      </c>
      <c r="K52" s="48">
        <f t="shared" si="17"/>
        <v>7.8850612029729712</v>
      </c>
      <c r="L52" s="48">
        <f t="shared" si="18"/>
        <v>15.163579236486482</v>
      </c>
      <c r="M52" s="35"/>
      <c r="N52" s="35"/>
      <c r="O52" s="35"/>
      <c r="P52" s="35"/>
      <c r="Q52" s="35"/>
      <c r="R52" s="35"/>
    </row>
    <row r="53" spans="2:18" x14ac:dyDescent="0.2">
      <c r="B53" s="26">
        <f t="shared" si="9"/>
        <v>49</v>
      </c>
      <c r="C53" s="47">
        <f>IF($E$9="H",+(VLOOKUP(B53,'CSO2001'!_xlnm.Print_Area,11)-VLOOKUP(B53+$E$8,'CSO2001'!_xlnm.Print_Area,11))/(VLOOKUP(B53,'CSO2001'!_xlnm.Print_Area,9)-VLOOKUP(B53+$E$8,'CSO2001'!_xlnm.Print_Area,9))*$E$7,+(VLOOKUP(B53-3,'CSO2001'!_xlnm.Print_Area,11)-VLOOKUP(B53-3+$E$8,'CSO2001'!_xlnm.Print_Area,11))/(VLOOKUP(B53-3,'CSO2001'!_xlnm.Print_Area,9)-VLOOKUP(B53-3+$E$8,'CSO2001'!_xlnm.Print_Area,9))*$E$7)*(1+$E$10)</f>
        <v>8.3135149881715549</v>
      </c>
      <c r="D53" s="48">
        <f t="shared" si="10"/>
        <v>16.62702997634311</v>
      </c>
      <c r="E53" s="48">
        <f t="shared" si="11"/>
        <v>17.790922074687128</v>
      </c>
      <c r="F53" s="48">
        <f t="shared" si="12"/>
        <v>17.624651774923699</v>
      </c>
      <c r="G53" s="48">
        <f t="shared" si="13"/>
        <v>17.292111175396833</v>
      </c>
      <c r="H53" s="48">
        <f t="shared" si="14"/>
        <v>16.62702997634311</v>
      </c>
      <c r="I53" s="48">
        <f t="shared" si="15"/>
        <v>1.4825768395572607</v>
      </c>
      <c r="J53" s="48">
        <f t="shared" si="16"/>
        <v>4.4061629437309247</v>
      </c>
      <c r="K53" s="48">
        <f t="shared" si="17"/>
        <v>8.6460555876984166</v>
      </c>
      <c r="L53" s="48">
        <f t="shared" si="18"/>
        <v>16.62702997634311</v>
      </c>
      <c r="M53" s="35"/>
      <c r="N53" s="35"/>
      <c r="O53" s="35"/>
      <c r="P53" s="35"/>
      <c r="Q53" s="35"/>
      <c r="R53" s="35"/>
    </row>
    <row r="54" spans="2:18" x14ac:dyDescent="0.2">
      <c r="B54" s="26">
        <f t="shared" si="9"/>
        <v>50</v>
      </c>
      <c r="C54" s="47">
        <f>IF($E$9="H",+(VLOOKUP(B54,'CSO2001'!_xlnm.Print_Area,11)-VLOOKUP(B54+$E$8,'CSO2001'!_xlnm.Print_Area,11))/(VLOOKUP(B54,'CSO2001'!_xlnm.Print_Area,9)-VLOOKUP(B54+$E$8,'CSO2001'!_xlnm.Print_Area,9))*$E$7,+(VLOOKUP(B54-3,'CSO2001'!_xlnm.Print_Area,11)-VLOOKUP(B54-3+$E$8,'CSO2001'!_xlnm.Print_Area,11))/(VLOOKUP(B54-3,'CSO2001'!_xlnm.Print_Area,9)-VLOOKUP(B54-3+$E$8,'CSO2001'!_xlnm.Print_Area,9))*$E$7)*(1+$E$10)</f>
        <v>9.1294417408415658</v>
      </c>
      <c r="D54" s="48">
        <f t="shared" si="10"/>
        <v>18.258883481683132</v>
      </c>
      <c r="E54" s="48">
        <f>+$D54*(1+$E$12)</f>
        <v>19.537005325400951</v>
      </c>
      <c r="F54" s="48">
        <f>+$D54*(1+$F$12)</f>
        <v>19.354416490584121</v>
      </c>
      <c r="G54" s="48">
        <f>+$D54*(1+$G$12)</f>
        <v>18.989238820950458</v>
      </c>
      <c r="H54" s="48">
        <f>+$D54*(1+$H$12)</f>
        <v>18.258883481683132</v>
      </c>
      <c r="I54" s="48">
        <f>+E54/12</f>
        <v>1.628083777116746</v>
      </c>
      <c r="J54" s="48">
        <f>+F54/4</f>
        <v>4.8386041226460303</v>
      </c>
      <c r="K54" s="48">
        <f>+G54/2</f>
        <v>9.4946194104752291</v>
      </c>
      <c r="L54" s="48">
        <f>+H54</f>
        <v>18.258883481683132</v>
      </c>
      <c r="M54" s="35"/>
      <c r="N54" s="35"/>
      <c r="O54" s="35"/>
      <c r="P54" s="35"/>
      <c r="Q54" s="35"/>
      <c r="R54" s="35"/>
    </row>
    <row r="55" spans="2:18" x14ac:dyDescent="0.2">
      <c r="B55" s="26">
        <f t="shared" si="9"/>
        <v>51</v>
      </c>
      <c r="C55" s="47">
        <f>IF($E$9="H",+(VLOOKUP(B55,'CSO2001'!_xlnm.Print_Area,11)-VLOOKUP(B55+$E$8,'CSO2001'!_xlnm.Print_Area,11))/(VLOOKUP(B55,'CSO2001'!_xlnm.Print_Area,9)-VLOOKUP(B55+$E$8,'CSO2001'!_xlnm.Print_Area,9))*$E$7,+(VLOOKUP(B55-3,'CSO2001'!_xlnm.Print_Area,11)-VLOOKUP(B55-3+$E$8,'CSO2001'!_xlnm.Print_Area,11))/(VLOOKUP(B55-3,'CSO2001'!_xlnm.Print_Area,9)-VLOOKUP(B55-3+$E$8,'CSO2001'!_xlnm.Print_Area,9))*$E$7)*(1+$E$10)</f>
        <v>10.042773750650554</v>
      </c>
      <c r="D55" s="48">
        <f t="shared" si="10"/>
        <v>20.085547501301107</v>
      </c>
      <c r="E55" s="48">
        <f t="shared" si="11"/>
        <v>21.491535826392187</v>
      </c>
      <c r="F55" s="48">
        <f t="shared" si="12"/>
        <v>21.290680351379176</v>
      </c>
      <c r="G55" s="48">
        <f t="shared" si="13"/>
        <v>20.888969401353151</v>
      </c>
      <c r="H55" s="48">
        <f t="shared" si="14"/>
        <v>20.085547501301107</v>
      </c>
      <c r="I55" s="48">
        <f t="shared" si="15"/>
        <v>1.7909613188660156</v>
      </c>
      <c r="J55" s="48">
        <f t="shared" si="16"/>
        <v>5.3226700878447941</v>
      </c>
      <c r="K55" s="48">
        <f t="shared" si="17"/>
        <v>10.444484700676576</v>
      </c>
      <c r="L55" s="48">
        <f t="shared" si="18"/>
        <v>20.085547501301107</v>
      </c>
      <c r="M55" s="35"/>
      <c r="N55" s="35"/>
      <c r="O55" s="35"/>
      <c r="P55" s="35"/>
      <c r="Q55" s="35"/>
      <c r="R55" s="35"/>
    </row>
    <row r="56" spans="2:18" x14ac:dyDescent="0.2">
      <c r="B56" s="26">
        <f t="shared" si="9"/>
        <v>52</v>
      </c>
      <c r="C56" s="47">
        <f>IF($E$9="H",+(VLOOKUP(B56,'CSO2001'!_xlnm.Print_Area,11)-VLOOKUP(B56+$E$8,'CSO2001'!_xlnm.Print_Area,11))/(VLOOKUP(B56,'CSO2001'!_xlnm.Print_Area,9)-VLOOKUP(B56+$E$8,'CSO2001'!_xlnm.Print_Area,9))*$E$7,+(VLOOKUP(B56-3,'CSO2001'!_xlnm.Print_Area,11)-VLOOKUP(B56-3+$E$8,'CSO2001'!_xlnm.Print_Area,11))/(VLOOKUP(B56-3,'CSO2001'!_xlnm.Print_Area,9)-VLOOKUP(B56-3+$E$8,'CSO2001'!_xlnm.Print_Area,9))*$E$7)*(1+$E$10)</f>
        <v>11.072806632931755</v>
      </c>
      <c r="D56" s="48">
        <f t="shared" si="10"/>
        <v>22.14561326586351</v>
      </c>
      <c r="E56" s="48">
        <f t="shared" si="11"/>
        <v>23.695806194473956</v>
      </c>
      <c r="F56" s="48">
        <f t="shared" si="12"/>
        <v>23.474350061815322</v>
      </c>
      <c r="G56" s="48">
        <f t="shared" si="13"/>
        <v>23.03143779649805</v>
      </c>
      <c r="H56" s="48">
        <f t="shared" si="14"/>
        <v>22.14561326586351</v>
      </c>
      <c r="I56" s="48">
        <f t="shared" si="15"/>
        <v>1.9746505162061629</v>
      </c>
      <c r="J56" s="48">
        <f t="shared" si="16"/>
        <v>5.8685875154538305</v>
      </c>
      <c r="K56" s="48">
        <f t="shared" si="17"/>
        <v>11.515718898249025</v>
      </c>
      <c r="L56" s="48">
        <f t="shared" si="18"/>
        <v>22.14561326586351</v>
      </c>
      <c r="M56" s="35"/>
      <c r="N56" s="35"/>
      <c r="O56" s="35"/>
      <c r="P56" s="35"/>
      <c r="Q56" s="35"/>
      <c r="R56" s="35"/>
    </row>
    <row r="57" spans="2:18" x14ac:dyDescent="0.2">
      <c r="B57" s="26">
        <f t="shared" si="9"/>
        <v>53</v>
      </c>
      <c r="C57" s="47">
        <f>IF($E$9="H",+(VLOOKUP(B57,'CSO2001'!_xlnm.Print_Area,11)-VLOOKUP(B57+$E$8,'CSO2001'!_xlnm.Print_Area,11))/(VLOOKUP(B57,'CSO2001'!_xlnm.Print_Area,9)-VLOOKUP(B57+$E$8,'CSO2001'!_xlnm.Print_Area,9))*$E$7,+(VLOOKUP(B57-3,'CSO2001'!_xlnm.Print_Area,11)-VLOOKUP(B57-3+$E$8,'CSO2001'!_xlnm.Print_Area,11))/(VLOOKUP(B57-3,'CSO2001'!_xlnm.Print_Area,9)-VLOOKUP(B57-3+$E$8,'CSO2001'!_xlnm.Print_Area,9))*$E$7)*(1+$E$10)</f>
        <v>12.232174344285783</v>
      </c>
      <c r="D57" s="48">
        <f t="shared" si="10"/>
        <v>24.464348688571565</v>
      </c>
      <c r="E57" s="48">
        <f t="shared" si="11"/>
        <v>26.176853096771577</v>
      </c>
      <c r="F57" s="48">
        <f t="shared" si="12"/>
        <v>25.932209609885859</v>
      </c>
      <c r="G57" s="48">
        <f t="shared" si="13"/>
        <v>25.442922636114428</v>
      </c>
      <c r="H57" s="48">
        <f t="shared" si="14"/>
        <v>24.464348688571565</v>
      </c>
      <c r="I57" s="48">
        <f t="shared" si="15"/>
        <v>2.1814044247309647</v>
      </c>
      <c r="J57" s="48">
        <f t="shared" si="16"/>
        <v>6.4830524024714649</v>
      </c>
      <c r="K57" s="48">
        <f t="shared" si="17"/>
        <v>12.721461318057214</v>
      </c>
      <c r="L57" s="48">
        <f t="shared" si="18"/>
        <v>24.464348688571565</v>
      </c>
      <c r="M57" s="35"/>
      <c r="N57" s="35"/>
      <c r="O57" s="35"/>
      <c r="P57" s="35"/>
      <c r="Q57" s="35"/>
      <c r="R57" s="35"/>
    </row>
    <row r="58" spans="2:18" x14ac:dyDescent="0.2">
      <c r="B58" s="26">
        <f t="shared" si="9"/>
        <v>54</v>
      </c>
      <c r="C58" s="47">
        <f>IF($E$9="H",+(VLOOKUP(B58,'CSO2001'!_xlnm.Print_Area,11)-VLOOKUP(B58+$E$8,'CSO2001'!_xlnm.Print_Area,11))/(VLOOKUP(B58,'CSO2001'!_xlnm.Print_Area,9)-VLOOKUP(B58+$E$8,'CSO2001'!_xlnm.Print_Area,9))*$E$7,+(VLOOKUP(B58-3,'CSO2001'!_xlnm.Print_Area,11)-VLOOKUP(B58-3+$E$8,'CSO2001'!_xlnm.Print_Area,11))/(VLOOKUP(B58-3,'CSO2001'!_xlnm.Print_Area,9)-VLOOKUP(B58-3+$E$8,'CSO2001'!_xlnm.Print_Area,9))*$E$7)*(1+$E$10)</f>
        <v>13.534832430050583</v>
      </c>
      <c r="D58" s="48">
        <f t="shared" si="10"/>
        <v>27.069664860101167</v>
      </c>
      <c r="E58" s="48">
        <f t="shared" si="11"/>
        <v>28.964541400308249</v>
      </c>
      <c r="F58" s="48">
        <f t="shared" si="12"/>
        <v>28.693844751707239</v>
      </c>
      <c r="G58" s="48">
        <f t="shared" si="13"/>
        <v>28.152451454505215</v>
      </c>
      <c r="H58" s="48">
        <f t="shared" si="14"/>
        <v>27.069664860101167</v>
      </c>
      <c r="I58" s="48">
        <f t="shared" si="15"/>
        <v>2.4137117833590209</v>
      </c>
      <c r="J58" s="48">
        <f t="shared" si="16"/>
        <v>7.1734611879268098</v>
      </c>
      <c r="K58" s="48">
        <f t="shared" si="17"/>
        <v>14.076225727252607</v>
      </c>
      <c r="L58" s="48">
        <f t="shared" si="18"/>
        <v>27.069664860101167</v>
      </c>
      <c r="M58" s="35"/>
      <c r="N58" s="35"/>
      <c r="O58" s="35"/>
      <c r="P58" s="35"/>
      <c r="Q58" s="35"/>
      <c r="R58" s="35"/>
    </row>
    <row r="59" spans="2:18" x14ac:dyDescent="0.2">
      <c r="B59" s="26">
        <f t="shared" si="9"/>
        <v>55</v>
      </c>
      <c r="C59" s="47">
        <f>IF($E$9="H",+(VLOOKUP(B59,'CSO2001'!_xlnm.Print_Area,11)-VLOOKUP(B59+$E$8,'CSO2001'!_xlnm.Print_Area,11))/(VLOOKUP(B59,'CSO2001'!_xlnm.Print_Area,9)-VLOOKUP(B59+$E$8,'CSO2001'!_xlnm.Print_Area,9))*$E$7,+(VLOOKUP(B59-3,'CSO2001'!_xlnm.Print_Area,11)-VLOOKUP(B59-3+$E$8,'CSO2001'!_xlnm.Print_Area,11))/(VLOOKUP(B59-3,'CSO2001'!_xlnm.Print_Area,9)-VLOOKUP(B59-3+$E$8,'CSO2001'!_xlnm.Print_Area,9))*$E$7)*(1+$E$10)</f>
        <v>14.973488743058759</v>
      </c>
      <c r="D59" s="48">
        <f t="shared" si="10"/>
        <v>29.946977486117518</v>
      </c>
      <c r="E59" s="48">
        <f>+$D59*(1+$E$12)</f>
        <v>32.043265910145749</v>
      </c>
      <c r="F59" s="48">
        <f>+$D59*(1+$F$12)</f>
        <v>31.743796135284573</v>
      </c>
      <c r="G59" s="48">
        <f>+$D59*(1+$G$12)</f>
        <v>31.14485658556222</v>
      </c>
      <c r="H59" s="48">
        <f>+$D59*(1+$H$12)</f>
        <v>29.946977486117518</v>
      </c>
      <c r="I59" s="48">
        <f>+E59/12</f>
        <v>2.6702721591788126</v>
      </c>
      <c r="J59" s="48">
        <f>+F59/4</f>
        <v>7.9359490338211431</v>
      </c>
      <c r="K59" s="48">
        <f>+G59/2</f>
        <v>15.57242829278111</v>
      </c>
      <c r="L59" s="48">
        <f>+H59</f>
        <v>29.946977486117518</v>
      </c>
      <c r="M59" s="35"/>
      <c r="N59" s="35"/>
      <c r="O59" s="35"/>
      <c r="P59" s="35"/>
      <c r="Q59" s="35"/>
      <c r="R59" s="35"/>
    </row>
    <row r="60" spans="2:18" x14ac:dyDescent="0.2">
      <c r="B60" s="26">
        <f t="shared" si="9"/>
        <v>56</v>
      </c>
      <c r="C60" s="47">
        <f>IF($E$9="H",+(VLOOKUP(B60,'CSO2001'!_xlnm.Print_Area,11)-VLOOKUP(B60+$E$8,'CSO2001'!_xlnm.Print_Area,11))/(VLOOKUP(B60,'CSO2001'!_xlnm.Print_Area,9)-VLOOKUP(B60+$E$8,'CSO2001'!_xlnm.Print_Area,9))*$E$7,+(VLOOKUP(B60-3,'CSO2001'!_xlnm.Print_Area,11)-VLOOKUP(B60-3+$E$8,'CSO2001'!_xlnm.Print_Area,11))/(VLOOKUP(B60-3,'CSO2001'!_xlnm.Print_Area,9)-VLOOKUP(B60-3+$E$8,'CSO2001'!_xlnm.Print_Area,9))*$E$7)*(1+$E$10)</f>
        <v>16.543587735926373</v>
      </c>
      <c r="D60" s="48">
        <f t="shared" si="10"/>
        <v>33.087175471852746</v>
      </c>
      <c r="E60" s="48">
        <f t="shared" si="11"/>
        <v>35.403277754882438</v>
      </c>
      <c r="F60" s="48">
        <f t="shared" si="12"/>
        <v>35.072406000163909</v>
      </c>
      <c r="G60" s="48">
        <f t="shared" si="13"/>
        <v>34.410662490726857</v>
      </c>
      <c r="H60" s="48">
        <f t="shared" si="14"/>
        <v>33.087175471852746</v>
      </c>
      <c r="I60" s="48">
        <f t="shared" si="15"/>
        <v>2.9502731462402032</v>
      </c>
      <c r="J60" s="48">
        <f t="shared" si="16"/>
        <v>8.7681015000409772</v>
      </c>
      <c r="K60" s="48">
        <f t="shared" si="17"/>
        <v>17.205331245363428</v>
      </c>
      <c r="L60" s="48">
        <f t="shared" si="18"/>
        <v>33.087175471852746</v>
      </c>
      <c r="M60" s="35"/>
      <c r="N60" s="35"/>
      <c r="O60" s="35"/>
      <c r="P60" s="35"/>
      <c r="Q60" s="35"/>
      <c r="R60" s="35"/>
    </row>
    <row r="61" spans="2:18" x14ac:dyDescent="0.2">
      <c r="B61" s="26">
        <f t="shared" si="9"/>
        <v>57</v>
      </c>
      <c r="C61" s="47">
        <f>IF($E$9="H",+(VLOOKUP(B61,'CSO2001'!_xlnm.Print_Area,11)-VLOOKUP(B61+$E$8,'CSO2001'!_xlnm.Print_Area,11))/(VLOOKUP(B61,'CSO2001'!_xlnm.Print_Area,9)-VLOOKUP(B61+$E$8,'CSO2001'!_xlnm.Print_Area,9))*$E$7,+(VLOOKUP(B61-3,'CSO2001'!_xlnm.Print_Area,11)-VLOOKUP(B61-3+$E$8,'CSO2001'!_xlnm.Print_Area,11))/(VLOOKUP(B61-3,'CSO2001'!_xlnm.Print_Area,9)-VLOOKUP(B61-3+$E$8,'CSO2001'!_xlnm.Print_Area,9))*$E$7)*(1+$E$10)</f>
        <v>18.243444595294207</v>
      </c>
      <c r="D61" s="48">
        <f t="shared" si="10"/>
        <v>36.486889190588414</v>
      </c>
      <c r="E61" s="48">
        <f t="shared" si="11"/>
        <v>39.040971433929606</v>
      </c>
      <c r="F61" s="48">
        <f t="shared" si="12"/>
        <v>38.67610254202372</v>
      </c>
      <c r="G61" s="48">
        <f t="shared" si="13"/>
        <v>37.946364758211949</v>
      </c>
      <c r="H61" s="48">
        <f t="shared" si="14"/>
        <v>36.486889190588414</v>
      </c>
      <c r="I61" s="48">
        <f t="shared" si="15"/>
        <v>3.2534142861608006</v>
      </c>
      <c r="J61" s="48">
        <f t="shared" si="16"/>
        <v>9.6690256355059301</v>
      </c>
      <c r="K61" s="48">
        <f t="shared" si="17"/>
        <v>18.973182379105975</v>
      </c>
      <c r="L61" s="48">
        <f t="shared" si="18"/>
        <v>36.486889190588414</v>
      </c>
      <c r="M61" s="35"/>
      <c r="N61" s="35"/>
      <c r="O61" s="35"/>
      <c r="P61" s="35"/>
      <c r="Q61" s="35"/>
      <c r="R61" s="35"/>
    </row>
    <row r="62" spans="2:18" x14ac:dyDescent="0.2">
      <c r="B62" s="26">
        <f t="shared" si="9"/>
        <v>58</v>
      </c>
      <c r="C62" s="47">
        <f>IF($E$9="H",+(VLOOKUP(B62,'CSO2001'!_xlnm.Print_Area,11)-VLOOKUP(B62+$E$8,'CSO2001'!_xlnm.Print_Area,11))/(VLOOKUP(B62,'CSO2001'!_xlnm.Print_Area,9)-VLOOKUP(B62+$E$8,'CSO2001'!_xlnm.Print_Area,9))*$E$7,+(VLOOKUP(B62-3,'CSO2001'!_xlnm.Print_Area,11)-VLOOKUP(B62-3+$E$8,'CSO2001'!_xlnm.Print_Area,11))/(VLOOKUP(B62-3,'CSO2001'!_xlnm.Print_Area,9)-VLOOKUP(B62-3+$E$8,'CSO2001'!_xlnm.Print_Area,9))*$E$7)*(1+$E$10)</f>
        <v>20.068685113529732</v>
      </c>
      <c r="D62" s="48">
        <f t="shared" si="10"/>
        <v>40.137370227059463</v>
      </c>
      <c r="E62" s="48">
        <f t="shared" si="11"/>
        <v>42.946986142953627</v>
      </c>
      <c r="F62" s="48">
        <f t="shared" si="12"/>
        <v>42.545612440683037</v>
      </c>
      <c r="G62" s="48">
        <f t="shared" si="13"/>
        <v>41.742865036141843</v>
      </c>
      <c r="H62" s="48">
        <f t="shared" si="14"/>
        <v>40.137370227059463</v>
      </c>
      <c r="I62" s="48">
        <f t="shared" si="15"/>
        <v>3.5789155119128022</v>
      </c>
      <c r="J62" s="48">
        <f t="shared" si="16"/>
        <v>10.636403110170759</v>
      </c>
      <c r="K62" s="48">
        <f t="shared" si="17"/>
        <v>20.871432518070922</v>
      </c>
      <c r="L62" s="48">
        <f t="shared" si="18"/>
        <v>40.137370227059463</v>
      </c>
      <c r="M62" s="35"/>
      <c r="N62" s="35"/>
      <c r="O62" s="35"/>
      <c r="P62" s="35"/>
      <c r="Q62" s="35"/>
      <c r="R62" s="35"/>
    </row>
    <row r="63" spans="2:18" x14ac:dyDescent="0.2">
      <c r="B63" s="26">
        <f t="shared" si="9"/>
        <v>59</v>
      </c>
      <c r="C63" s="47">
        <f>IF($E$9="H",+(VLOOKUP(B63,'CSO2001'!_xlnm.Print_Area,11)-VLOOKUP(B63+$E$8,'CSO2001'!_xlnm.Print_Area,11))/(VLOOKUP(B63,'CSO2001'!_xlnm.Print_Area,9)-VLOOKUP(B63+$E$8,'CSO2001'!_xlnm.Print_Area,9))*$E$7,+(VLOOKUP(B63-3,'CSO2001'!_xlnm.Print_Area,11)-VLOOKUP(B63-3+$E$8,'CSO2001'!_xlnm.Print_Area,11))/(VLOOKUP(B63-3,'CSO2001'!_xlnm.Print_Area,9)-VLOOKUP(B63-3+$E$8,'CSO2001'!_xlnm.Print_Area,9))*$E$7)*(1+$E$10)</f>
        <v>22.068193776072196</v>
      </c>
      <c r="D63" s="48">
        <f t="shared" si="10"/>
        <v>44.136387552144392</v>
      </c>
      <c r="E63" s="48">
        <f t="shared" si="11"/>
        <v>47.225934680794502</v>
      </c>
      <c r="F63" s="48">
        <f t="shared" si="12"/>
        <v>46.784570805273056</v>
      </c>
      <c r="G63" s="48">
        <f t="shared" si="13"/>
        <v>45.90184305423017</v>
      </c>
      <c r="H63" s="48">
        <f t="shared" si="14"/>
        <v>44.136387552144392</v>
      </c>
      <c r="I63" s="48">
        <f t="shared" si="15"/>
        <v>3.9354945567328752</v>
      </c>
      <c r="J63" s="48">
        <f t="shared" si="16"/>
        <v>11.696142701318264</v>
      </c>
      <c r="K63" s="48">
        <f t="shared" si="17"/>
        <v>22.950921527115085</v>
      </c>
      <c r="L63" s="48">
        <f t="shared" si="18"/>
        <v>44.136387552144392</v>
      </c>
      <c r="M63" s="35"/>
      <c r="N63" s="35"/>
      <c r="O63" s="35"/>
      <c r="P63" s="35"/>
      <c r="Q63" s="35"/>
      <c r="R63" s="35"/>
    </row>
    <row r="64" spans="2:18" x14ac:dyDescent="0.2">
      <c r="B64" s="26">
        <f t="shared" si="9"/>
        <v>60</v>
      </c>
      <c r="C64" s="47">
        <f>IF($E$9="H",+(VLOOKUP(B64,'CSO2001'!_xlnm.Print_Area,11)-VLOOKUP(B64+$E$8,'CSO2001'!_xlnm.Print_Area,11))/(VLOOKUP(B64,'CSO2001'!_xlnm.Print_Area,9)-VLOOKUP(B64+$E$8,'CSO2001'!_xlnm.Print_Area,9))*$E$7,+(VLOOKUP(B64-3,'CSO2001'!_xlnm.Print_Area,11)-VLOOKUP(B64-3+$E$8,'CSO2001'!_xlnm.Print_Area,11))/(VLOOKUP(B64-3,'CSO2001'!_xlnm.Print_Area,9)-VLOOKUP(B64-3+$E$8,'CSO2001'!_xlnm.Print_Area,9))*$E$7)*(1+$E$10)</f>
        <v>24.237403162907363</v>
      </c>
      <c r="D64" s="48">
        <f t="shared" si="10"/>
        <v>48.474806325814725</v>
      </c>
      <c r="E64" s="48">
        <f>+$D64*(1+$E$12)</f>
        <v>51.868042768621763</v>
      </c>
      <c r="F64" s="48">
        <f>+$D64*(1+$F$12)</f>
        <v>51.38329470536361</v>
      </c>
      <c r="G64" s="48">
        <f>+$D64*(1+$G$12)</f>
        <v>50.413798578847313</v>
      </c>
      <c r="H64" s="48">
        <f>+$D64*(1+$H$12)</f>
        <v>48.474806325814725</v>
      </c>
      <c r="I64" s="48">
        <f>+E64/12</f>
        <v>4.3223368973851466</v>
      </c>
      <c r="J64" s="48">
        <f>+F64/4</f>
        <v>12.845823676340903</v>
      </c>
      <c r="K64" s="48">
        <f>+G64/2</f>
        <v>25.206899289423657</v>
      </c>
      <c r="L64" s="48">
        <f>+H64</f>
        <v>48.474806325814725</v>
      </c>
      <c r="M64" s="35"/>
      <c r="N64" s="35"/>
      <c r="O64" s="35"/>
      <c r="P64" s="35"/>
      <c r="Q64" s="35"/>
      <c r="R64" s="35"/>
    </row>
    <row r="65" spans="2:18" x14ac:dyDescent="0.2">
      <c r="B65" s="26">
        <f t="shared" si="9"/>
        <v>61</v>
      </c>
      <c r="C65" s="47">
        <f>IF($E$9="H",+(VLOOKUP(B65,'CSO2001'!_xlnm.Print_Area,11)-VLOOKUP(B65+$E$8,'CSO2001'!_xlnm.Print_Area,11))/(VLOOKUP(B65,'CSO2001'!_xlnm.Print_Area,9)-VLOOKUP(B65+$E$8,'CSO2001'!_xlnm.Print_Area,9))*$E$7,+(VLOOKUP(B65-3,'CSO2001'!_xlnm.Print_Area,11)-VLOOKUP(B65-3+$E$8,'CSO2001'!_xlnm.Print_Area,11))/(VLOOKUP(B65-3,'CSO2001'!_xlnm.Print_Area,9)-VLOOKUP(B65-3+$E$8,'CSO2001'!_xlnm.Print_Area,9))*$E$7)*(1+$E$10)</f>
        <v>26.596436580471913</v>
      </c>
      <c r="D65" s="48">
        <f t="shared" si="10"/>
        <v>53.192873160943826</v>
      </c>
      <c r="E65" s="48">
        <f t="shared" si="11"/>
        <v>56.916374282209894</v>
      </c>
      <c r="F65" s="48">
        <f t="shared" si="12"/>
        <v>56.384445550600461</v>
      </c>
      <c r="G65" s="48">
        <f t="shared" si="13"/>
        <v>55.32058808738158</v>
      </c>
      <c r="H65" s="48">
        <f t="shared" si="14"/>
        <v>53.192873160943826</v>
      </c>
      <c r="I65" s="48">
        <f t="shared" si="15"/>
        <v>4.7430311901841575</v>
      </c>
      <c r="J65" s="48">
        <f t="shared" si="16"/>
        <v>14.096111387650115</v>
      </c>
      <c r="K65" s="48">
        <f t="shared" si="17"/>
        <v>27.66029404369079</v>
      </c>
      <c r="L65" s="48">
        <f t="shared" si="18"/>
        <v>53.192873160943826</v>
      </c>
      <c r="M65" s="35"/>
      <c r="N65" s="35"/>
      <c r="O65" s="35"/>
      <c r="P65" s="35"/>
      <c r="Q65" s="35"/>
      <c r="R65" s="35"/>
    </row>
    <row r="66" spans="2:18" x14ac:dyDescent="0.2">
      <c r="B66" s="26">
        <f t="shared" si="9"/>
        <v>62</v>
      </c>
      <c r="C66" s="47">
        <f>IF($E$9="H",+(VLOOKUP(B66,'CSO2001'!_xlnm.Print_Area,11)-VLOOKUP(B66+$E$8,'CSO2001'!_xlnm.Print_Area,11))/(VLOOKUP(B66,'CSO2001'!_xlnm.Print_Area,9)-VLOOKUP(B66+$E$8,'CSO2001'!_xlnm.Print_Area,9))*$E$7,+(VLOOKUP(B66-3,'CSO2001'!_xlnm.Print_Area,11)-VLOOKUP(B66-3+$E$8,'CSO2001'!_xlnm.Print_Area,11))/(VLOOKUP(B66-3,'CSO2001'!_xlnm.Print_Area,9)-VLOOKUP(B66-3+$E$8,'CSO2001'!_xlnm.Print_Area,9))*$E$7)*(1+$E$10)</f>
        <v>29.142319780564822</v>
      </c>
      <c r="D66" s="48">
        <f t="shared" si="10"/>
        <v>58.284639561129644</v>
      </c>
      <c r="E66" s="48">
        <f t="shared" si="11"/>
        <v>62.364564330408726</v>
      </c>
      <c r="F66" s="48">
        <f t="shared" si="12"/>
        <v>61.781717934797427</v>
      </c>
      <c r="G66" s="48">
        <f t="shared" si="13"/>
        <v>60.616025143574831</v>
      </c>
      <c r="H66" s="48">
        <f t="shared" si="14"/>
        <v>58.284639561129644</v>
      </c>
      <c r="I66" s="48">
        <f t="shared" si="15"/>
        <v>5.1970470275340608</v>
      </c>
      <c r="J66" s="48">
        <f t="shared" si="16"/>
        <v>15.445429483699357</v>
      </c>
      <c r="K66" s="48">
        <f t="shared" si="17"/>
        <v>30.308012571787415</v>
      </c>
      <c r="L66" s="48">
        <f t="shared" si="18"/>
        <v>58.284639561129644</v>
      </c>
      <c r="M66" s="35"/>
      <c r="N66" s="35"/>
      <c r="O66" s="35"/>
      <c r="P66" s="35"/>
      <c r="Q66" s="35"/>
      <c r="R66" s="35"/>
    </row>
    <row r="67" spans="2:18" x14ac:dyDescent="0.2">
      <c r="B67" s="26">
        <f t="shared" si="9"/>
        <v>63</v>
      </c>
      <c r="C67" s="47">
        <f>IF($E$9="H",+(VLOOKUP(B67,'CSO2001'!_xlnm.Print_Area,11)-VLOOKUP(B67+$E$8,'CSO2001'!_xlnm.Print_Area,11))/(VLOOKUP(B67,'CSO2001'!_xlnm.Print_Area,9)-VLOOKUP(B67+$E$8,'CSO2001'!_xlnm.Print_Area,9))*$E$7,+(VLOOKUP(B67-3,'CSO2001'!_xlnm.Print_Area,11)-VLOOKUP(B67-3+$E$8,'CSO2001'!_xlnm.Print_Area,11))/(VLOOKUP(B67-3,'CSO2001'!_xlnm.Print_Area,9)-VLOOKUP(B67-3+$E$8,'CSO2001'!_xlnm.Print_Area,9))*$E$7)*(1+$E$10)</f>
        <v>31.927248954135372</v>
      </c>
      <c r="D67" s="48">
        <f t="shared" si="10"/>
        <v>63.854497908270744</v>
      </c>
      <c r="E67" s="48">
        <f t="shared" si="11"/>
        <v>68.324312761849697</v>
      </c>
      <c r="F67" s="48">
        <f t="shared" si="12"/>
        <v>67.685767782766987</v>
      </c>
      <c r="G67" s="48">
        <f t="shared" si="13"/>
        <v>66.408677824601583</v>
      </c>
      <c r="H67" s="48">
        <f t="shared" si="14"/>
        <v>63.854497908270744</v>
      </c>
      <c r="I67" s="48">
        <f t="shared" si="15"/>
        <v>5.6936927301541411</v>
      </c>
      <c r="J67" s="48">
        <f t="shared" si="16"/>
        <v>16.921441945691747</v>
      </c>
      <c r="K67" s="48">
        <f t="shared" si="17"/>
        <v>33.204338912300791</v>
      </c>
      <c r="L67" s="48">
        <f t="shared" si="18"/>
        <v>63.854497908270744</v>
      </c>
      <c r="M67" s="35"/>
      <c r="N67" s="35"/>
      <c r="O67" s="35"/>
      <c r="P67" s="35"/>
      <c r="Q67" s="35"/>
      <c r="R67" s="35"/>
    </row>
    <row r="68" spans="2:18" x14ac:dyDescent="0.2">
      <c r="B68" s="26">
        <f t="shared" si="9"/>
        <v>64</v>
      </c>
      <c r="C68" s="47">
        <f>IF($E$9="H",+(VLOOKUP(B68,'CSO2001'!_xlnm.Print_Area,11)-VLOOKUP(B68+$E$8,'CSO2001'!_xlnm.Print_Area,11))/(VLOOKUP(B68,'CSO2001'!_xlnm.Print_Area,9)-VLOOKUP(B68+$E$8,'CSO2001'!_xlnm.Print_Area,9))*$E$7,+(VLOOKUP(B68-3,'CSO2001'!_xlnm.Print_Area,11)-VLOOKUP(B68-3+$E$8,'CSO2001'!_xlnm.Print_Area,11))/(VLOOKUP(B68-3,'CSO2001'!_xlnm.Print_Area,9)-VLOOKUP(B68-3+$E$8,'CSO2001'!_xlnm.Print_Area,9))*$E$7)*(1+$E$10)</f>
        <v>34.943805720575909</v>
      </c>
      <c r="D68" s="48">
        <f t="shared" si="10"/>
        <v>69.887611441151819</v>
      </c>
      <c r="E68" s="48">
        <f t="shared" si="11"/>
        <v>74.77974424203245</v>
      </c>
      <c r="F68" s="48">
        <f t="shared" si="12"/>
        <v>74.080868127620931</v>
      </c>
      <c r="G68" s="48">
        <f t="shared" si="13"/>
        <v>72.683115898797894</v>
      </c>
      <c r="H68" s="48">
        <f t="shared" si="14"/>
        <v>69.887611441151819</v>
      </c>
      <c r="I68" s="48">
        <f t="shared" si="15"/>
        <v>6.2316453535027039</v>
      </c>
      <c r="J68" s="48">
        <f t="shared" si="16"/>
        <v>18.520217031905233</v>
      </c>
      <c r="K68" s="48">
        <f t="shared" si="17"/>
        <v>36.341557949398947</v>
      </c>
      <c r="L68" s="48">
        <f t="shared" si="18"/>
        <v>69.887611441151819</v>
      </c>
      <c r="M68" s="35"/>
      <c r="N68" s="35"/>
      <c r="O68" s="35"/>
      <c r="P68" s="35"/>
      <c r="Q68" s="35"/>
      <c r="R68" s="35"/>
    </row>
    <row r="69" spans="2:18" x14ac:dyDescent="0.2">
      <c r="B69" s="26">
        <f t="shared" si="9"/>
        <v>65</v>
      </c>
      <c r="C69" s="47">
        <f>IF($E$9="H",+(VLOOKUP(B69,'CSO2001'!_xlnm.Print_Area,11)-VLOOKUP(B69+$E$8,'CSO2001'!_xlnm.Print_Area,11))/(VLOOKUP(B69,'CSO2001'!_xlnm.Print_Area,9)-VLOOKUP(B69+$E$8,'CSO2001'!_xlnm.Print_Area,9))*$E$7,+(VLOOKUP(B69-3,'CSO2001'!_xlnm.Print_Area,11)-VLOOKUP(B69-3+$E$8,'CSO2001'!_xlnm.Print_Area,11))/(VLOOKUP(B69-3,'CSO2001'!_xlnm.Print_Area,9)-VLOOKUP(B69-3+$E$8,'CSO2001'!_xlnm.Print_Area,9))*$E$7)*(1+$E$10)</f>
        <v>38.204169399075397</v>
      </c>
      <c r="D69" s="48">
        <f t="shared" si="10"/>
        <v>76.408338798150794</v>
      </c>
      <c r="E69" s="48">
        <f t="shared" ref="E69:E74" si="19">+$D69*(1+$E$12)</f>
        <v>81.756922514021355</v>
      </c>
      <c r="F69" s="48">
        <f t="shared" ref="F69:F74" si="20">+$D69*(1+$F$12)</f>
        <v>80.99283912603984</v>
      </c>
      <c r="G69" s="48">
        <f t="shared" ref="G69:G74" si="21">+$D69*(1+$G$12)</f>
        <v>79.464672350076825</v>
      </c>
      <c r="H69" s="48">
        <f t="shared" ref="H69:H74" si="22">+$D69*(1+$H$12)</f>
        <v>76.408338798150794</v>
      </c>
      <c r="I69" s="48">
        <f t="shared" ref="I69:I74" si="23">+E69/12</f>
        <v>6.8130768761684459</v>
      </c>
      <c r="J69" s="48">
        <f t="shared" ref="J69:J74" si="24">+F69/4</f>
        <v>20.24820978150996</v>
      </c>
      <c r="K69" s="48">
        <f t="shared" ref="K69:K74" si="25">+G69/2</f>
        <v>39.732336175038412</v>
      </c>
      <c r="L69" s="48">
        <f t="shared" ref="L69:L74" si="26">+H69</f>
        <v>76.408338798150794</v>
      </c>
      <c r="M69" s="35"/>
      <c r="N69" s="35"/>
      <c r="O69" s="35"/>
      <c r="P69" s="35"/>
      <c r="Q69" s="35"/>
      <c r="R69" s="35"/>
    </row>
    <row r="70" spans="2:18" x14ac:dyDescent="0.2">
      <c r="B70" s="26">
        <f t="shared" si="9"/>
        <v>66</v>
      </c>
      <c r="C70" s="47">
        <f>IF($E$9="H",+(VLOOKUP(B70,'CSO2001'!_xlnm.Print_Area,11)-VLOOKUP(B70+$E$8,'CSO2001'!_xlnm.Print_Area,11))/(VLOOKUP(B70,'CSO2001'!_xlnm.Print_Area,9)-VLOOKUP(B70+$E$8,'CSO2001'!_xlnm.Print_Area,9))*$E$7,+(VLOOKUP(B70-3,'CSO2001'!_xlnm.Print_Area,11)-VLOOKUP(B70-3+$E$8,'CSO2001'!_xlnm.Print_Area,11))/(VLOOKUP(B70-3,'CSO2001'!_xlnm.Print_Area,9)-VLOOKUP(B70-3+$E$8,'CSO2001'!_xlnm.Print_Area,9))*$E$7)*(1+$E$10)</f>
        <v>41.742023122492903</v>
      </c>
      <c r="D70" s="48">
        <f>+C70/(1-$D$13)</f>
        <v>83.484046244985805</v>
      </c>
      <c r="E70" s="48">
        <f t="shared" si="19"/>
        <v>89.32792948213482</v>
      </c>
      <c r="F70" s="48">
        <f t="shared" si="20"/>
        <v>88.493089019684959</v>
      </c>
      <c r="G70" s="48">
        <f t="shared" si="21"/>
        <v>86.823408094785236</v>
      </c>
      <c r="H70" s="48">
        <f t="shared" si="22"/>
        <v>83.484046244985805</v>
      </c>
      <c r="I70" s="48">
        <f t="shared" si="23"/>
        <v>7.443994123511235</v>
      </c>
      <c r="J70" s="48">
        <f t="shared" si="24"/>
        <v>22.12327225492124</v>
      </c>
      <c r="K70" s="48">
        <f t="shared" si="25"/>
        <v>43.411704047392618</v>
      </c>
      <c r="L70" s="48">
        <f t="shared" si="26"/>
        <v>83.484046244985805</v>
      </c>
    </row>
    <row r="71" spans="2:18" x14ac:dyDescent="0.2">
      <c r="B71" s="26">
        <f t="shared" si="9"/>
        <v>67</v>
      </c>
      <c r="C71" s="47">
        <f>IF($E$9="H",+(VLOOKUP(B71,'CSO2001'!_xlnm.Print_Area,11)-VLOOKUP(B71+$E$8,'CSO2001'!_xlnm.Print_Area,11))/(VLOOKUP(B71,'CSO2001'!_xlnm.Print_Area,9)-VLOOKUP(B71+$E$8,'CSO2001'!_xlnm.Print_Area,9))*$E$7,+(VLOOKUP(B71-3,'CSO2001'!_xlnm.Print_Area,11)-VLOOKUP(B71-3+$E$8,'CSO2001'!_xlnm.Print_Area,11))/(VLOOKUP(B71-3,'CSO2001'!_xlnm.Print_Area,9)-VLOOKUP(B71-3+$E$8,'CSO2001'!_xlnm.Print_Area,9))*$E$7)*(1+$E$10)</f>
        <v>45.604574184552177</v>
      </c>
      <c r="D71" s="48">
        <f>+C71/(1-$D$13)</f>
        <v>91.209148369104355</v>
      </c>
      <c r="E71" s="48">
        <f t="shared" si="19"/>
        <v>97.59378875494167</v>
      </c>
      <c r="F71" s="48">
        <f t="shared" si="20"/>
        <v>96.681697271250627</v>
      </c>
      <c r="G71" s="48">
        <f t="shared" si="21"/>
        <v>94.857514303868527</v>
      </c>
      <c r="H71" s="48">
        <f t="shared" si="22"/>
        <v>91.209148369104355</v>
      </c>
      <c r="I71" s="48">
        <f t="shared" si="23"/>
        <v>8.1328157295784731</v>
      </c>
      <c r="J71" s="48">
        <f t="shared" si="24"/>
        <v>24.170424317812657</v>
      </c>
      <c r="K71" s="48">
        <f t="shared" si="25"/>
        <v>47.428757151934263</v>
      </c>
      <c r="L71" s="48">
        <f t="shared" si="26"/>
        <v>91.209148369104355</v>
      </c>
    </row>
    <row r="72" spans="2:18" x14ac:dyDescent="0.2">
      <c r="B72" s="26">
        <f t="shared" si="9"/>
        <v>68</v>
      </c>
      <c r="C72" s="47">
        <f>IF($E$9="H",+(VLOOKUP(B72,'CSO2001'!_xlnm.Print_Area,11)-VLOOKUP(B72+$E$8,'CSO2001'!_xlnm.Print_Area,11))/(VLOOKUP(B72,'CSO2001'!_xlnm.Print_Area,9)-VLOOKUP(B72+$E$8,'CSO2001'!_xlnm.Print_Area,9))*$E$7,+(VLOOKUP(B72-3,'CSO2001'!_xlnm.Print_Area,11)-VLOOKUP(B72-3+$E$8,'CSO2001'!_xlnm.Print_Area,11))/(VLOOKUP(B72-3,'CSO2001'!_xlnm.Print_Area,9)-VLOOKUP(B72-3+$E$8,'CSO2001'!_xlnm.Print_Area,9))*$E$7)*(1+$E$10)</f>
        <v>49.87897435553959</v>
      </c>
      <c r="D72" s="48">
        <f>+C72/(1-$D$13)</f>
        <v>99.75794871107918</v>
      </c>
      <c r="E72" s="48">
        <f t="shared" si="19"/>
        <v>106.74100512085472</v>
      </c>
      <c r="F72" s="48">
        <f t="shared" si="20"/>
        <v>105.74342563374394</v>
      </c>
      <c r="G72" s="48">
        <f t="shared" si="21"/>
        <v>103.74826665952236</v>
      </c>
      <c r="H72" s="48">
        <f t="shared" si="22"/>
        <v>99.75794871107918</v>
      </c>
      <c r="I72" s="48">
        <f t="shared" si="23"/>
        <v>8.8950837600712269</v>
      </c>
      <c r="J72" s="48">
        <f t="shared" si="24"/>
        <v>26.435856408435985</v>
      </c>
      <c r="K72" s="48">
        <f t="shared" si="25"/>
        <v>51.874133329761179</v>
      </c>
      <c r="L72" s="48">
        <f t="shared" si="26"/>
        <v>99.75794871107918</v>
      </c>
    </row>
    <row r="73" spans="2:18" x14ac:dyDescent="0.2">
      <c r="B73" s="26">
        <f t="shared" si="9"/>
        <v>69</v>
      </c>
      <c r="C73" s="47">
        <f>IF($E$9="H",+(VLOOKUP(B73,'CSO2001'!_xlnm.Print_Area,11)-VLOOKUP(B73+$E$8,'CSO2001'!_xlnm.Print_Area,11))/(VLOOKUP(B73,'CSO2001'!_xlnm.Print_Area,9)-VLOOKUP(B73+$E$8,'CSO2001'!_xlnm.Print_Area,9))*$E$7,+(VLOOKUP(B73-3,'CSO2001'!_xlnm.Print_Area,11)-VLOOKUP(B73-3+$E$8,'CSO2001'!_xlnm.Print_Area,11))/(VLOOKUP(B73-3,'CSO2001'!_xlnm.Print_Area,9)-VLOOKUP(B73-3+$E$8,'CSO2001'!_xlnm.Print_Area,9))*$E$7)*(1+$E$10)</f>
        <v>54.638185066297467</v>
      </c>
      <c r="D73" s="48">
        <f>+C73/(1-$D$13)</f>
        <v>109.27637013259493</v>
      </c>
      <c r="E73" s="48">
        <f t="shared" si="19"/>
        <v>116.92571604187658</v>
      </c>
      <c r="F73" s="48">
        <f t="shared" si="20"/>
        <v>115.83295234055063</v>
      </c>
      <c r="G73" s="48">
        <f t="shared" si="21"/>
        <v>113.64742493789873</v>
      </c>
      <c r="H73" s="48">
        <f t="shared" si="22"/>
        <v>109.27637013259493</v>
      </c>
      <c r="I73" s="48">
        <f t="shared" si="23"/>
        <v>9.7438096701563826</v>
      </c>
      <c r="J73" s="48">
        <f t="shared" si="24"/>
        <v>28.958238085137658</v>
      </c>
      <c r="K73" s="48">
        <f t="shared" si="25"/>
        <v>56.823712468949367</v>
      </c>
      <c r="L73" s="48">
        <f t="shared" si="26"/>
        <v>109.27637013259493</v>
      </c>
    </row>
    <row r="74" spans="2:18" x14ac:dyDescent="0.2">
      <c r="B74" s="26">
        <f t="shared" si="9"/>
        <v>70</v>
      </c>
      <c r="C74" s="47">
        <f>IF($E$9="H",+(VLOOKUP(B74,'CSO2001'!_xlnm.Print_Area,11)-VLOOKUP(B74+$E$8,'CSO2001'!_xlnm.Print_Area,11))/(VLOOKUP(B74,'CSO2001'!_xlnm.Print_Area,9)-VLOOKUP(B74+$E$8,'CSO2001'!_xlnm.Print_Area,9))*$E$7,+(VLOOKUP(B74-3,'CSO2001'!_xlnm.Print_Area,11)-VLOOKUP(B74-3+$E$8,'CSO2001'!_xlnm.Print_Area,11))/(VLOOKUP(B74-3,'CSO2001'!_xlnm.Print_Area,9)-VLOOKUP(B74-3+$E$8,'CSO2001'!_xlnm.Print_Area,9))*$E$7)*(1+$E$10)</f>
        <v>59.988777283110984</v>
      </c>
      <c r="D74" s="48">
        <f>+C74/(1-$D$13)</f>
        <v>119.97755456622197</v>
      </c>
      <c r="E74" s="48">
        <f t="shared" si="19"/>
        <v>128.37598338585752</v>
      </c>
      <c r="F74" s="48">
        <f t="shared" si="20"/>
        <v>127.17620784019529</v>
      </c>
      <c r="G74" s="48">
        <f t="shared" si="21"/>
        <v>124.77665674887085</v>
      </c>
      <c r="H74" s="48">
        <f t="shared" si="22"/>
        <v>119.97755456622197</v>
      </c>
      <c r="I74" s="48">
        <f t="shared" si="23"/>
        <v>10.697998615488126</v>
      </c>
      <c r="J74" s="48">
        <f t="shared" si="24"/>
        <v>31.794051960048822</v>
      </c>
      <c r="K74" s="48">
        <f t="shared" si="25"/>
        <v>62.388328374435424</v>
      </c>
      <c r="L74" s="48">
        <f t="shared" si="26"/>
        <v>119.97755456622197</v>
      </c>
    </row>
  </sheetData>
  <mergeCells count="8">
    <mergeCell ref="I14:L14"/>
    <mergeCell ref="E15:H15"/>
    <mergeCell ref="B3:L3"/>
    <mergeCell ref="B4:L4"/>
    <mergeCell ref="B8:D8"/>
    <mergeCell ref="B9:D9"/>
    <mergeCell ref="B11:D11"/>
    <mergeCell ref="B12:D12"/>
  </mergeCells>
  <dataValidations count="1">
    <dataValidation allowBlank="1" showInputMessage="1" showErrorMessage="1" prompt="CELDA PROTEGIDA!!!!" sqref="D14" xr:uid="{00000000-0002-0000-0400-000000000000}"/>
  </dataValidations>
  <pageMargins left="0.7" right="0.7" top="0.75" bottom="0.75" header="0.3" footer="0.3"/>
  <pageSetup scale="75" orientation="landscape" horizontalDpi="4294967293" verticalDpi="0" r:id="rId1"/>
  <headerFooter>
    <oddFooter>Página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74"/>
  <sheetViews>
    <sheetView workbookViewId="0">
      <selection activeCell="B23" sqref="B23:N23"/>
    </sheetView>
  </sheetViews>
  <sheetFormatPr defaultColWidth="11.42578125" defaultRowHeight="12.75" x14ac:dyDescent="0.2"/>
  <cols>
    <col min="1" max="2" width="11.42578125" customWidth="1"/>
    <col min="3" max="3" width="14.42578125" customWidth="1"/>
    <col min="4" max="4" width="15.28515625" customWidth="1"/>
    <col min="5" max="5" width="17.140625" customWidth="1"/>
    <col min="6" max="6" width="15.7109375" customWidth="1"/>
    <col min="7" max="7" width="14" customWidth="1"/>
    <col min="8" max="8" width="14.5703125" customWidth="1"/>
    <col min="9" max="9" width="14.7109375" customWidth="1"/>
    <col min="10" max="10" width="13.85546875" customWidth="1"/>
    <col min="11" max="11" width="16" customWidth="1"/>
    <col min="12" max="12" width="13.85546875" customWidth="1"/>
    <col min="13" max="13" width="12.28515625" bestFit="1" customWidth="1"/>
  </cols>
  <sheetData>
    <row r="2" spans="2:12" x14ac:dyDescent="0.2">
      <c r="K2" s="1" t="s">
        <v>41</v>
      </c>
      <c r="L2" s="1"/>
    </row>
    <row r="3" spans="2:12" ht="18" x14ac:dyDescent="0.25">
      <c r="B3" s="161" t="s">
        <v>66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2:12" ht="15.75" x14ac:dyDescent="0.25">
      <c r="B4" s="141" t="s">
        <v>40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6" spans="2:12" ht="6" customHeight="1" x14ac:dyDescent="0.2"/>
    <row r="7" spans="2:12" ht="18" x14ac:dyDescent="0.25">
      <c r="B7" s="44" t="s">
        <v>21</v>
      </c>
      <c r="C7" s="44"/>
      <c r="D7" s="44"/>
      <c r="E7" s="42">
        <v>1000</v>
      </c>
    </row>
    <row r="8" spans="2:12" ht="18" x14ac:dyDescent="0.25">
      <c r="B8" s="168" t="s">
        <v>22</v>
      </c>
      <c r="C8" s="168"/>
      <c r="D8" s="168"/>
      <c r="E8" s="40">
        <v>15</v>
      </c>
      <c r="F8" s="76" t="s">
        <v>17</v>
      </c>
      <c r="H8" s="49"/>
    </row>
    <row r="9" spans="2:12" ht="18" x14ac:dyDescent="0.25">
      <c r="B9" s="168" t="s">
        <v>23</v>
      </c>
      <c r="C9" s="168"/>
      <c r="D9" s="168"/>
      <c r="E9" s="40" t="s">
        <v>52</v>
      </c>
      <c r="F9" s="41"/>
    </row>
    <row r="10" spans="2:12" ht="18" x14ac:dyDescent="0.25">
      <c r="B10" s="81"/>
      <c r="C10" s="81" t="s">
        <v>68</v>
      </c>
      <c r="D10" s="81"/>
      <c r="E10" s="80">
        <v>0</v>
      </c>
      <c r="F10" s="41"/>
      <c r="I10" s="35"/>
    </row>
    <row r="11" spans="2:12" x14ac:dyDescent="0.2">
      <c r="B11" s="169" t="s">
        <v>9</v>
      </c>
      <c r="C11" s="169"/>
      <c r="D11" s="170"/>
      <c r="E11" s="28" t="s">
        <v>4</v>
      </c>
      <c r="F11" s="28" t="s">
        <v>5</v>
      </c>
      <c r="G11" s="28" t="s">
        <v>6</v>
      </c>
      <c r="H11" s="28" t="s">
        <v>7</v>
      </c>
    </row>
    <row r="12" spans="2:12" x14ac:dyDescent="0.2">
      <c r="B12" s="171" t="s">
        <v>8</v>
      </c>
      <c r="C12" s="171"/>
      <c r="D12" s="172"/>
      <c r="E12" s="29">
        <v>7.0000000000000007E-2</v>
      </c>
      <c r="F12" s="29">
        <v>0.06</v>
      </c>
      <c r="G12" s="29">
        <v>0.04</v>
      </c>
      <c r="H12" s="29">
        <v>0</v>
      </c>
    </row>
    <row r="13" spans="2:12" ht="13.5" thickBot="1" x14ac:dyDescent="0.25">
      <c r="C13" s="24"/>
      <c r="D13" s="45">
        <v>0.5</v>
      </c>
      <c r="E13" s="30"/>
      <c r="F13" s="30"/>
      <c r="G13" s="30"/>
      <c r="H13" s="30"/>
      <c r="I13" s="31"/>
      <c r="J13" s="31"/>
      <c r="K13" s="31"/>
      <c r="L13" s="31"/>
    </row>
    <row r="14" spans="2:12" ht="13.5" thickBot="1" x14ac:dyDescent="0.25">
      <c r="C14" s="2"/>
      <c r="D14" s="39"/>
      <c r="I14" s="162" t="s">
        <v>15</v>
      </c>
      <c r="J14" s="163"/>
      <c r="K14" s="163"/>
      <c r="L14" s="164"/>
    </row>
    <row r="15" spans="2:12" ht="13.5" thickBot="1" x14ac:dyDescent="0.25">
      <c r="B15" s="4" t="s">
        <v>1</v>
      </c>
      <c r="C15" s="74" t="s">
        <v>19</v>
      </c>
      <c r="D15" s="75" t="s">
        <v>20</v>
      </c>
      <c r="E15" s="165" t="s">
        <v>16</v>
      </c>
      <c r="F15" s="166"/>
      <c r="G15" s="166"/>
      <c r="H15" s="167"/>
      <c r="I15" s="4" t="s">
        <v>4</v>
      </c>
      <c r="J15" s="27" t="s">
        <v>5</v>
      </c>
      <c r="K15" s="5" t="s">
        <v>6</v>
      </c>
      <c r="L15" s="27" t="s">
        <v>7</v>
      </c>
    </row>
    <row r="16" spans="2:12" x14ac:dyDescent="0.2">
      <c r="B16" s="56">
        <v>12</v>
      </c>
      <c r="C16" s="47">
        <f>IF($E$9="H",+(VLOOKUP(B16,'CSO2001'!_xlnm.Print_Area,11)-VLOOKUP(B16+$E$8,'CSO2001'!_xlnm.Print_Area,11))/(VLOOKUP(B16,'CSO2001'!_xlnm.Print_Area,9)-VLOOKUP(B16+$E$8,'CSO2001'!_xlnm.Print_Area,9))*$E$7,+(VLOOKUP(B16-3,'CSO2001'!_xlnm.Print_Area,11)-VLOOKUP(B16-3+$E$8,'CSO2001'!_xlnm.Print_Area,11))/(VLOOKUP(B16-3,'CSO2001'!_xlnm.Print_Area,9)-VLOOKUP(B16-3+$E$8,'CSO2001'!_xlnm.Print_Area,9))*$E$7)*(1+$E$10)</f>
        <v>1.2569802016000646</v>
      </c>
      <c r="D16" s="48">
        <f>+C16/(1-$D$13)</f>
        <v>2.5139604032001293</v>
      </c>
      <c r="E16" s="48">
        <f>+$D16*(1+$E$12)</f>
        <v>2.6899376314241383</v>
      </c>
      <c r="F16" s="48">
        <f>+$D16*(1+$F$12)</f>
        <v>2.6647980273921372</v>
      </c>
      <c r="G16" s="48">
        <f>+$D16*(1+$G$12)</f>
        <v>2.6145188193281346</v>
      </c>
      <c r="H16" s="48">
        <f>+$D16*(1+$H$12)</f>
        <v>2.5139604032001293</v>
      </c>
      <c r="I16" s="48">
        <f>+E16/12</f>
        <v>0.22416146928534486</v>
      </c>
      <c r="J16" s="48">
        <f>+F16/4</f>
        <v>0.66619950684803431</v>
      </c>
      <c r="K16" s="48">
        <f>+G16/2</f>
        <v>1.3072594096640673</v>
      </c>
      <c r="L16" s="48">
        <f>+H16</f>
        <v>2.5139604032001293</v>
      </c>
    </row>
    <row r="17" spans="2:13" x14ac:dyDescent="0.2">
      <c r="B17" s="56">
        <v>13</v>
      </c>
      <c r="C17" s="47">
        <f>IF($E$9="H",+(VLOOKUP(B17,'CSO2001'!_xlnm.Print_Area,11)-VLOOKUP(B17+$E$8,'CSO2001'!_xlnm.Print_Area,11))/(VLOOKUP(B17,'CSO2001'!_xlnm.Print_Area,9)-VLOOKUP(B17+$E$8,'CSO2001'!_xlnm.Print_Area,9))*$E$7,+(VLOOKUP(B17-3,'CSO2001'!_xlnm.Print_Area,11)-VLOOKUP(B17-3+$E$8,'CSO2001'!_xlnm.Print_Area,11))/(VLOOKUP(B17-3,'CSO2001'!_xlnm.Print_Area,9)-VLOOKUP(B17-3+$E$8,'CSO2001'!_xlnm.Print_Area,9))*$E$7)*(1+$E$10)</f>
        <v>1.3496335984040444</v>
      </c>
      <c r="D17" s="48">
        <f t="shared" ref="D17:D19" si="0">+C17/(1-$D$13)</f>
        <v>2.6992671968080888</v>
      </c>
      <c r="E17" s="48">
        <f t="shared" ref="E17:E19" si="1">+$D17*(1+$E$12)</f>
        <v>2.888215900584655</v>
      </c>
      <c r="F17" s="48">
        <f t="shared" ref="F17:F19" si="2">+$D17*(1+$F$12)</f>
        <v>2.8612232286165744</v>
      </c>
      <c r="G17" s="48">
        <f t="shared" ref="G17:G19" si="3">+$D17*(1+$G$12)</f>
        <v>2.8072378846804122</v>
      </c>
      <c r="H17" s="48">
        <f t="shared" ref="H17:H19" si="4">+$D17*(1+$H$12)</f>
        <v>2.6992671968080888</v>
      </c>
      <c r="I17" s="48">
        <f t="shared" ref="I17:I19" si="5">+E17/12</f>
        <v>0.24068465838205458</v>
      </c>
      <c r="J17" s="48">
        <f t="shared" ref="J17:J19" si="6">+F17/4</f>
        <v>0.7153058071541436</v>
      </c>
      <c r="K17" s="48">
        <f t="shared" ref="K17:K19" si="7">+G17/2</f>
        <v>1.4036189423402061</v>
      </c>
      <c r="L17" s="48">
        <f t="shared" ref="L17:L19" si="8">+H17</f>
        <v>2.6992671968080888</v>
      </c>
    </row>
    <row r="18" spans="2:13" x14ac:dyDescent="0.2">
      <c r="B18" s="56">
        <v>14</v>
      </c>
      <c r="C18" s="47">
        <f>IF($E$9="H",+(VLOOKUP(B18,'CSO2001'!_xlnm.Print_Area,11)-VLOOKUP(B18+$E$8,'CSO2001'!_xlnm.Print_Area,11))/(VLOOKUP(B18,'CSO2001'!_xlnm.Print_Area,9)-VLOOKUP(B18+$E$8,'CSO2001'!_xlnm.Print_Area,9))*$E$7,+(VLOOKUP(B18-3,'CSO2001'!_xlnm.Print_Area,11)-VLOOKUP(B18-3+$E$8,'CSO2001'!_xlnm.Print_Area,11))/(VLOOKUP(B18-3,'CSO2001'!_xlnm.Print_Area,9)-VLOOKUP(B18-3+$E$8,'CSO2001'!_xlnm.Print_Area,9))*$E$7)*(1+$E$10)</f>
        <v>1.4373599393852938</v>
      </c>
      <c r="D18" s="48">
        <f t="shared" si="0"/>
        <v>2.8747198787705877</v>
      </c>
      <c r="E18" s="48">
        <f t="shared" si="1"/>
        <v>3.0759502702845292</v>
      </c>
      <c r="F18" s="48">
        <f t="shared" si="2"/>
        <v>3.0472030714968232</v>
      </c>
      <c r="G18" s="48">
        <f t="shared" si="3"/>
        <v>2.9897086739214114</v>
      </c>
      <c r="H18" s="48">
        <f t="shared" si="4"/>
        <v>2.8747198787705877</v>
      </c>
      <c r="I18" s="48">
        <f t="shared" si="5"/>
        <v>0.25632918919037745</v>
      </c>
      <c r="J18" s="48">
        <f t="shared" si="6"/>
        <v>0.76180076787420581</v>
      </c>
      <c r="K18" s="48">
        <f t="shared" si="7"/>
        <v>1.4948543369607057</v>
      </c>
      <c r="L18" s="48">
        <f t="shared" si="8"/>
        <v>2.8747198787705877</v>
      </c>
    </row>
    <row r="19" spans="2:13" x14ac:dyDescent="0.2">
      <c r="B19" s="56">
        <v>15</v>
      </c>
      <c r="C19" s="47">
        <f>IF($E$9="H",+(VLOOKUP(B19,'CSO2001'!_xlnm.Print_Area,11)-VLOOKUP(B19+$E$8,'CSO2001'!_xlnm.Print_Area,11))/(VLOOKUP(B19,'CSO2001'!_xlnm.Print_Area,9)-VLOOKUP(B19+$E$8,'CSO2001'!_xlnm.Print_Area,9))*$E$7,+(VLOOKUP(B19-3,'CSO2001'!_xlnm.Print_Area,11)-VLOOKUP(B19-3+$E$8,'CSO2001'!_xlnm.Print_Area,11))/(VLOOKUP(B19-3,'CSO2001'!_xlnm.Print_Area,9)-VLOOKUP(B19-3+$E$8,'CSO2001'!_xlnm.Print_Area,9))*$E$7)*(1+$E$10)</f>
        <v>1.5157320974942941</v>
      </c>
      <c r="D19" s="48">
        <f t="shared" si="0"/>
        <v>3.0314641949885881</v>
      </c>
      <c r="E19" s="48">
        <f t="shared" si="1"/>
        <v>3.2436666886377896</v>
      </c>
      <c r="F19" s="48">
        <f t="shared" si="2"/>
        <v>3.2133520466879038</v>
      </c>
      <c r="G19" s="48">
        <f t="shared" si="3"/>
        <v>3.1527227627881316</v>
      </c>
      <c r="H19" s="48">
        <f t="shared" si="4"/>
        <v>3.0314641949885881</v>
      </c>
      <c r="I19" s="48">
        <f t="shared" si="5"/>
        <v>0.27030555738648249</v>
      </c>
      <c r="J19" s="48">
        <f t="shared" si="6"/>
        <v>0.80333801167197594</v>
      </c>
      <c r="K19" s="48">
        <f t="shared" si="7"/>
        <v>1.5763613813940658</v>
      </c>
      <c r="L19" s="48">
        <f t="shared" si="8"/>
        <v>3.0314641949885881</v>
      </c>
    </row>
    <row r="20" spans="2:13" x14ac:dyDescent="0.2">
      <c r="B20" s="56">
        <v>16</v>
      </c>
      <c r="C20" s="47">
        <f>IF($E$9="H",+(VLOOKUP(B20,'CSO2001'!_xlnm.Print_Area,11)-VLOOKUP(B20+$E$8,'CSO2001'!_xlnm.Print_Area,11))/(VLOOKUP(B20,'CSO2001'!_xlnm.Print_Area,9)-VLOOKUP(B20+$E$8,'CSO2001'!_xlnm.Print_Area,9))*$E$7,+(VLOOKUP(B20-3,'CSO2001'!_xlnm.Print_Area,11)-VLOOKUP(B20-3+$E$8,'CSO2001'!_xlnm.Print_Area,11))/(VLOOKUP(B20-3,'CSO2001'!_xlnm.Print_Area,9)-VLOOKUP(B20-3+$E$8,'CSO2001'!_xlnm.Print_Area,9))*$E$7)*(1+$E$10)</f>
        <v>1.5773845928799712</v>
      </c>
      <c r="D20" s="48">
        <f>+C20/(1-$D$13)</f>
        <v>3.1547691857599425</v>
      </c>
      <c r="E20" s="48">
        <f>+$D20*(1+$E$12)</f>
        <v>3.3756030287631384</v>
      </c>
      <c r="F20" s="48">
        <f>+$D20*(1+$F$12)</f>
        <v>3.344055336905539</v>
      </c>
      <c r="G20" s="48">
        <f>+$D20*(1+$G$12)</f>
        <v>3.2809599531903402</v>
      </c>
      <c r="H20" s="48">
        <f>+$D20*(1+$H$12)</f>
        <v>3.1547691857599425</v>
      </c>
      <c r="I20" s="48">
        <f>+E20/12</f>
        <v>0.28130025239692819</v>
      </c>
      <c r="J20" s="48">
        <f>+F20/4</f>
        <v>0.83601383422638476</v>
      </c>
      <c r="K20" s="48">
        <f>+G20/2</f>
        <v>1.6404799765951701</v>
      </c>
      <c r="L20" s="48">
        <f>+H20</f>
        <v>3.1547691857599425</v>
      </c>
    </row>
    <row r="21" spans="2:13" x14ac:dyDescent="0.2">
      <c r="B21" s="56">
        <v>17</v>
      </c>
      <c r="C21" s="47">
        <f>IF($E$9="H",+(VLOOKUP(B21,'CSO2001'!_xlnm.Print_Area,11)-VLOOKUP(B21+$E$8,'CSO2001'!_xlnm.Print_Area,11))/(VLOOKUP(B21,'CSO2001'!_xlnm.Print_Area,9)-VLOOKUP(B21+$E$8,'CSO2001'!_xlnm.Print_Area,9))*$E$7,+(VLOOKUP(B21-3,'CSO2001'!_xlnm.Print_Area,11)-VLOOKUP(B21-3+$E$8,'CSO2001'!_xlnm.Print_Area,11))/(VLOOKUP(B21-3,'CSO2001'!_xlnm.Print_Area,9)-VLOOKUP(B21-3+$E$8,'CSO2001'!_xlnm.Print_Area,9))*$E$7)*(1+$E$10)</f>
        <v>1.6230826655789716</v>
      </c>
      <c r="D21" s="48">
        <f>+C21/(1-$D$13)</f>
        <v>3.2461653311579433</v>
      </c>
      <c r="E21" s="48">
        <f>+$D21*(1+$E$12)</f>
        <v>3.4733969043389994</v>
      </c>
      <c r="F21" s="48">
        <f>+$D21*(1+$F$12)</f>
        <v>3.4409352510274198</v>
      </c>
      <c r="G21" s="48">
        <f>+$D21*(1+$G$12)</f>
        <v>3.3760119444042611</v>
      </c>
      <c r="H21" s="48">
        <f>+$D21*(1+$H$12)</f>
        <v>3.2461653311579433</v>
      </c>
      <c r="I21" s="48">
        <f>+E21/12</f>
        <v>0.28944974202824997</v>
      </c>
      <c r="J21" s="48">
        <f>+F21/4</f>
        <v>0.86023381275685495</v>
      </c>
      <c r="K21" s="48">
        <f>+G21/2</f>
        <v>1.6880059722021306</v>
      </c>
      <c r="L21" s="48">
        <f>+H21</f>
        <v>3.2461653311579433</v>
      </c>
    </row>
    <row r="22" spans="2:13" x14ac:dyDescent="0.2">
      <c r="B22" s="26">
        <v>18</v>
      </c>
      <c r="C22" s="47">
        <f>IF($E$9="H",+(VLOOKUP(B22,'CSO2001'!_xlnm.Print_Area,11)-VLOOKUP(B22+$E$8,'CSO2001'!_xlnm.Print_Area,11))/(VLOOKUP(B22,'CSO2001'!_xlnm.Print_Area,9)-VLOOKUP(B22+$E$8,'CSO2001'!_xlnm.Print_Area,9))*$E$7,+(VLOOKUP(B22-3,'CSO2001'!_xlnm.Print_Area,11)-VLOOKUP(B22-3+$E$8,'CSO2001'!_xlnm.Print_Area,11))/(VLOOKUP(B22-3,'CSO2001'!_xlnm.Print_Area,9)-VLOOKUP(B22-3+$E$8,'CSO2001'!_xlnm.Print_Area,9))*$E$7)*(1+$E$10)</f>
        <v>1.653126895520997</v>
      </c>
      <c r="D22" s="48">
        <f>+C22/(1-$D$13)</f>
        <v>3.306253791041994</v>
      </c>
      <c r="E22" s="48">
        <f>+$D22*(1+$E$12)</f>
        <v>3.5376915564149338</v>
      </c>
      <c r="F22" s="48">
        <f>+$D22*(1+$F$12)</f>
        <v>3.5046290185045139</v>
      </c>
      <c r="G22" s="48">
        <f>+$D22*(1+$G$12)</f>
        <v>3.4385039426836741</v>
      </c>
      <c r="H22" s="48">
        <f>+$D22*(1+$H$12)</f>
        <v>3.306253791041994</v>
      </c>
      <c r="I22" s="48">
        <f>+E22/12</f>
        <v>0.29480762970124447</v>
      </c>
      <c r="J22" s="48">
        <f>+F22/4</f>
        <v>0.87615725462612848</v>
      </c>
      <c r="K22" s="48">
        <f>+G22/2</f>
        <v>1.719251971341837</v>
      </c>
      <c r="L22" s="48">
        <f>+H22</f>
        <v>3.306253791041994</v>
      </c>
    </row>
    <row r="23" spans="2:13" x14ac:dyDescent="0.2">
      <c r="B23" s="26">
        <f t="shared" ref="B23:B74" si="9">+B22+1</f>
        <v>19</v>
      </c>
      <c r="C23" s="47">
        <f>IF($E$9="H",+(VLOOKUP(B23,'CSO2001'!_xlnm.Print_Area,11)-VLOOKUP(B23+$E$8,'CSO2001'!_xlnm.Print_Area,11))/(VLOOKUP(B23,'CSO2001'!_xlnm.Print_Area,9)-VLOOKUP(B23+$E$8,'CSO2001'!_xlnm.Print_Area,9))*$E$7,+(VLOOKUP(B23-3,'CSO2001'!_xlnm.Print_Area,11)-VLOOKUP(B23-3+$E$8,'CSO2001'!_xlnm.Print_Area,11))/(VLOOKUP(B23-3,'CSO2001'!_xlnm.Print_Area,9)-VLOOKUP(B23-3+$E$8,'CSO2001'!_xlnm.Print_Area,9))*$E$7)*(1+$E$10)</f>
        <v>1.6765583655303886</v>
      </c>
      <c r="D23" s="48">
        <f t="shared" ref="D23:D69" si="10">+C23/(1-$D$13)</f>
        <v>3.3531167310607772</v>
      </c>
      <c r="E23" s="48">
        <f t="shared" ref="E23:E68" si="11">+$D23*(1+$E$12)</f>
        <v>3.587834902235032</v>
      </c>
      <c r="F23" s="48">
        <f t="shared" ref="F23:F68" si="12">+$D23*(1+$F$12)</f>
        <v>3.554303734924424</v>
      </c>
      <c r="G23" s="48">
        <f t="shared" ref="G23:G68" si="13">+$D23*(1+$G$12)</f>
        <v>3.4872414003032084</v>
      </c>
      <c r="H23" s="48">
        <f t="shared" ref="H23:H68" si="14">+$D23*(1+$H$12)</f>
        <v>3.3531167310607772</v>
      </c>
      <c r="I23" s="48">
        <f t="shared" ref="I23:I68" si="15">+E23/12</f>
        <v>0.29898624185291933</v>
      </c>
      <c r="J23" s="48">
        <f t="shared" ref="J23:J68" si="16">+F23/4</f>
        <v>0.88857593373110599</v>
      </c>
      <c r="K23" s="48">
        <f t="shared" ref="K23:K68" si="17">+G23/2</f>
        <v>1.7436207001516042</v>
      </c>
      <c r="L23" s="48">
        <f t="shared" ref="L23:L68" si="18">+H23</f>
        <v>3.3531167310607772</v>
      </c>
    </row>
    <row r="24" spans="2:13" x14ac:dyDescent="0.2">
      <c r="B24" s="26">
        <f t="shared" si="9"/>
        <v>20</v>
      </c>
      <c r="C24" s="47">
        <f>IF($E$9="H",+(VLOOKUP(B24,'CSO2001'!_xlnm.Print_Area,11)-VLOOKUP(B24+$E$8,'CSO2001'!_xlnm.Print_Area,11))/(VLOOKUP(B24,'CSO2001'!_xlnm.Print_Area,9)-VLOOKUP(B24+$E$8,'CSO2001'!_xlnm.Print_Area,9))*$E$7,+(VLOOKUP(B24-3,'CSO2001'!_xlnm.Print_Area,11)-VLOOKUP(B24-3+$E$8,'CSO2001'!_xlnm.Print_Area,11))/(VLOOKUP(B24-3,'CSO2001'!_xlnm.Print_Area,9)-VLOOKUP(B24-3+$E$8,'CSO2001'!_xlnm.Print_Area,9))*$E$7)*(1+$E$10)</f>
        <v>1.697938659407795</v>
      </c>
      <c r="D24" s="48">
        <f t="shared" si="10"/>
        <v>3.39587731881559</v>
      </c>
      <c r="E24" s="48">
        <f t="shared" si="11"/>
        <v>3.6335887311326815</v>
      </c>
      <c r="F24" s="48">
        <f t="shared" si="12"/>
        <v>3.5996299579445257</v>
      </c>
      <c r="G24" s="48">
        <f t="shared" si="13"/>
        <v>3.5317124115682135</v>
      </c>
      <c r="H24" s="48">
        <f t="shared" si="14"/>
        <v>3.39587731881559</v>
      </c>
      <c r="I24" s="48">
        <f t="shared" si="15"/>
        <v>0.30279906092772346</v>
      </c>
      <c r="J24" s="48">
        <f t="shared" si="16"/>
        <v>0.89990748948613142</v>
      </c>
      <c r="K24" s="48">
        <f t="shared" si="17"/>
        <v>1.7658562057841067</v>
      </c>
      <c r="L24" s="48">
        <f t="shared" si="18"/>
        <v>3.39587731881559</v>
      </c>
      <c r="M24" s="25"/>
    </row>
    <row r="25" spans="2:13" x14ac:dyDescent="0.2">
      <c r="B25" s="26">
        <f t="shared" si="9"/>
        <v>21</v>
      </c>
      <c r="C25" s="47">
        <f>IF($E$9="H",+(VLOOKUP(B25,'CSO2001'!_xlnm.Print_Area,11)-VLOOKUP(B25+$E$8,'CSO2001'!_xlnm.Print_Area,11))/(VLOOKUP(B25,'CSO2001'!_xlnm.Print_Area,9)-VLOOKUP(B25+$E$8,'CSO2001'!_xlnm.Print_Area,9))*$E$7,+(VLOOKUP(B25-3,'CSO2001'!_xlnm.Print_Area,11)-VLOOKUP(B25-3+$E$8,'CSO2001'!_xlnm.Print_Area,11))/(VLOOKUP(B25-3,'CSO2001'!_xlnm.Print_Area,9)-VLOOKUP(B25-3+$E$8,'CSO2001'!_xlnm.Print_Area,9))*$E$7)*(1+$E$10)</f>
        <v>1.7198358735002384</v>
      </c>
      <c r="D25" s="48">
        <f t="shared" si="10"/>
        <v>3.4396717470004767</v>
      </c>
      <c r="E25" s="48">
        <f t="shared" si="11"/>
        <v>3.6804487692905101</v>
      </c>
      <c r="F25" s="48">
        <f t="shared" si="12"/>
        <v>3.6460520518205057</v>
      </c>
      <c r="G25" s="48">
        <f t="shared" si="13"/>
        <v>3.5772586168804961</v>
      </c>
      <c r="H25" s="48">
        <f t="shared" si="14"/>
        <v>3.4396717470004767</v>
      </c>
      <c r="I25" s="48">
        <f t="shared" si="15"/>
        <v>0.30670406410754253</v>
      </c>
      <c r="J25" s="48">
        <f t="shared" si="16"/>
        <v>0.91151301295512643</v>
      </c>
      <c r="K25" s="48">
        <f t="shared" si="17"/>
        <v>1.788629308440248</v>
      </c>
      <c r="L25" s="48">
        <f t="shared" si="18"/>
        <v>3.4396717470004767</v>
      </c>
    </row>
    <row r="26" spans="2:13" x14ac:dyDescent="0.2">
      <c r="B26" s="26">
        <f t="shared" si="9"/>
        <v>22</v>
      </c>
      <c r="C26" s="47">
        <f>IF($E$9="H",+(VLOOKUP(B26,'CSO2001'!_xlnm.Print_Area,11)-VLOOKUP(B26+$E$8,'CSO2001'!_xlnm.Print_Area,11))/(VLOOKUP(B26,'CSO2001'!_xlnm.Print_Area,9)-VLOOKUP(B26+$E$8,'CSO2001'!_xlnm.Print_Area,9))*$E$7,+(VLOOKUP(B26-3,'CSO2001'!_xlnm.Print_Area,11)-VLOOKUP(B26-3+$E$8,'CSO2001'!_xlnm.Print_Area,11))/(VLOOKUP(B26-3,'CSO2001'!_xlnm.Print_Area,9)-VLOOKUP(B26-3+$E$8,'CSO2001'!_xlnm.Print_Area,9))*$E$7)*(1+$E$10)</f>
        <v>1.7481963190357943</v>
      </c>
      <c r="D26" s="48">
        <f t="shared" si="10"/>
        <v>3.4963926380715886</v>
      </c>
      <c r="E26" s="48">
        <f t="shared" si="11"/>
        <v>3.7411401227366001</v>
      </c>
      <c r="F26" s="48">
        <f t="shared" si="12"/>
        <v>3.7061761963558841</v>
      </c>
      <c r="G26" s="48">
        <f t="shared" si="13"/>
        <v>3.6362483435944521</v>
      </c>
      <c r="H26" s="48">
        <f t="shared" si="14"/>
        <v>3.4963926380715886</v>
      </c>
      <c r="I26" s="48">
        <f t="shared" si="15"/>
        <v>0.31176167689471668</v>
      </c>
      <c r="J26" s="48">
        <f t="shared" si="16"/>
        <v>0.92654404908897103</v>
      </c>
      <c r="K26" s="48">
        <f t="shared" si="17"/>
        <v>1.8181241717972261</v>
      </c>
      <c r="L26" s="48">
        <f t="shared" si="18"/>
        <v>3.4963926380715886</v>
      </c>
    </row>
    <row r="27" spans="2:13" x14ac:dyDescent="0.2">
      <c r="B27" s="26">
        <f t="shared" si="9"/>
        <v>23</v>
      </c>
      <c r="C27" s="47">
        <f>IF($E$9="H",+(VLOOKUP(B27,'CSO2001'!_xlnm.Print_Area,11)-VLOOKUP(B27+$E$8,'CSO2001'!_xlnm.Print_Area,11))/(VLOOKUP(B27,'CSO2001'!_xlnm.Print_Area,9)-VLOOKUP(B27+$E$8,'CSO2001'!_xlnm.Print_Area,9))*$E$7,+(VLOOKUP(B27-3,'CSO2001'!_xlnm.Print_Area,11)-VLOOKUP(B27-3+$E$8,'CSO2001'!_xlnm.Print_Area,11))/(VLOOKUP(B27-3,'CSO2001'!_xlnm.Print_Area,9)-VLOOKUP(B27-3+$E$8,'CSO2001'!_xlnm.Print_Area,9))*$E$7)*(1+$E$10)</f>
        <v>1.779763730322407</v>
      </c>
      <c r="D27" s="48">
        <f t="shared" si="10"/>
        <v>3.559527460644814</v>
      </c>
      <c r="E27" s="48">
        <f t="shared" si="11"/>
        <v>3.8086943828899513</v>
      </c>
      <c r="F27" s="48">
        <f t="shared" si="12"/>
        <v>3.7730991082835028</v>
      </c>
      <c r="G27" s="48">
        <f t="shared" si="13"/>
        <v>3.7019085590706067</v>
      </c>
      <c r="H27" s="48">
        <f t="shared" si="14"/>
        <v>3.559527460644814</v>
      </c>
      <c r="I27" s="48">
        <f t="shared" si="15"/>
        <v>0.31739119857416259</v>
      </c>
      <c r="J27" s="48">
        <f t="shared" si="16"/>
        <v>0.9432747770708757</v>
      </c>
      <c r="K27" s="48">
        <f t="shared" si="17"/>
        <v>1.8509542795353033</v>
      </c>
      <c r="L27" s="48">
        <f t="shared" si="18"/>
        <v>3.559527460644814</v>
      </c>
    </row>
    <row r="28" spans="2:13" x14ac:dyDescent="0.2">
      <c r="B28" s="26">
        <f t="shared" si="9"/>
        <v>24</v>
      </c>
      <c r="C28" s="47">
        <f>IF($E$9="H",+(VLOOKUP(B28,'CSO2001'!_xlnm.Print_Area,11)-VLOOKUP(B28+$E$8,'CSO2001'!_xlnm.Print_Area,11))/(VLOOKUP(B28,'CSO2001'!_xlnm.Print_Area,9)-VLOOKUP(B28+$E$8,'CSO2001'!_xlnm.Print_Area,9))*$E$7,+(VLOOKUP(B28-3,'CSO2001'!_xlnm.Print_Area,11)-VLOOKUP(B28-3+$E$8,'CSO2001'!_xlnm.Print_Area,11))/(VLOOKUP(B28-3,'CSO2001'!_xlnm.Print_Area,9)-VLOOKUP(B28-3+$E$8,'CSO2001'!_xlnm.Print_Area,9))*$E$7)*(1+$E$10)</f>
        <v>1.8192487631869132</v>
      </c>
      <c r="D28" s="48">
        <f t="shared" si="10"/>
        <v>3.6384975263738264</v>
      </c>
      <c r="E28" s="48">
        <f t="shared" si="11"/>
        <v>3.8931923532199946</v>
      </c>
      <c r="F28" s="48">
        <f t="shared" si="12"/>
        <v>3.8568073779562564</v>
      </c>
      <c r="G28" s="48">
        <f t="shared" si="13"/>
        <v>3.7840374274287796</v>
      </c>
      <c r="H28" s="48">
        <f t="shared" si="14"/>
        <v>3.6384975263738264</v>
      </c>
      <c r="I28" s="48">
        <f t="shared" si="15"/>
        <v>0.3244326961016662</v>
      </c>
      <c r="J28" s="48">
        <f t="shared" si="16"/>
        <v>0.9642018444890641</v>
      </c>
      <c r="K28" s="48">
        <f t="shared" si="17"/>
        <v>1.8920187137143898</v>
      </c>
      <c r="L28" s="48">
        <f t="shared" si="18"/>
        <v>3.6384975263738264</v>
      </c>
    </row>
    <row r="29" spans="2:13" x14ac:dyDescent="0.2">
      <c r="B29" s="26">
        <f t="shared" si="9"/>
        <v>25</v>
      </c>
      <c r="C29" s="47">
        <f>IF($E$9="H",+(VLOOKUP(B29,'CSO2001'!_xlnm.Print_Area,11)-VLOOKUP(B29+$E$8,'CSO2001'!_xlnm.Print_Area,11))/(VLOOKUP(B29,'CSO2001'!_xlnm.Print_Area,9)-VLOOKUP(B29+$E$8,'CSO2001'!_xlnm.Print_Area,9))*$E$7,+(VLOOKUP(B29-3,'CSO2001'!_xlnm.Print_Area,11)-VLOOKUP(B29-3+$E$8,'CSO2001'!_xlnm.Print_Area,11))/(VLOOKUP(B29-3,'CSO2001'!_xlnm.Print_Area,9)-VLOOKUP(B29-3+$E$8,'CSO2001'!_xlnm.Print_Area,9))*$E$7)*(1+$E$10)</f>
        <v>1.865578528388399</v>
      </c>
      <c r="D29" s="48">
        <f t="shared" si="10"/>
        <v>3.731157056776798</v>
      </c>
      <c r="E29" s="48">
        <f t="shared" si="11"/>
        <v>3.9923380507511741</v>
      </c>
      <c r="F29" s="48">
        <f t="shared" si="12"/>
        <v>3.9550264801834061</v>
      </c>
      <c r="G29" s="48">
        <f t="shared" si="13"/>
        <v>3.88040333904787</v>
      </c>
      <c r="H29" s="48">
        <f t="shared" si="14"/>
        <v>3.731157056776798</v>
      </c>
      <c r="I29" s="48">
        <f>+E29/12</f>
        <v>0.33269483756259782</v>
      </c>
      <c r="J29" s="48">
        <f>+F29/4</f>
        <v>0.98875662004585152</v>
      </c>
      <c r="K29" s="48">
        <f>+G29/2</f>
        <v>1.940201669523935</v>
      </c>
      <c r="L29" s="48">
        <f>+H29</f>
        <v>3.731157056776798</v>
      </c>
    </row>
    <row r="30" spans="2:13" x14ac:dyDescent="0.2">
      <c r="B30" s="26">
        <f t="shared" si="9"/>
        <v>26</v>
      </c>
      <c r="C30" s="47">
        <f>IF($E$9="H",+(VLOOKUP(B30,'CSO2001'!_xlnm.Print_Area,11)-VLOOKUP(B30+$E$8,'CSO2001'!_xlnm.Print_Area,11))/(VLOOKUP(B30,'CSO2001'!_xlnm.Print_Area,9)-VLOOKUP(B30+$E$8,'CSO2001'!_xlnm.Print_Area,9))*$E$7,+(VLOOKUP(B30-3,'CSO2001'!_xlnm.Print_Area,11)-VLOOKUP(B30-3+$E$8,'CSO2001'!_xlnm.Print_Area,11))/(VLOOKUP(B30-3,'CSO2001'!_xlnm.Print_Area,9)-VLOOKUP(B30-3+$E$8,'CSO2001'!_xlnm.Print_Area,9))*$E$7)*(1+$E$10)</f>
        <v>1.9197855565436237</v>
      </c>
      <c r="D30" s="48">
        <f t="shared" si="10"/>
        <v>3.8395711130872474</v>
      </c>
      <c r="E30" s="48">
        <f t="shared" si="11"/>
        <v>4.1083410910033553</v>
      </c>
      <c r="F30" s="48">
        <f t="shared" si="12"/>
        <v>4.0699453798724825</v>
      </c>
      <c r="G30" s="48">
        <f t="shared" si="13"/>
        <v>3.9931539576107373</v>
      </c>
      <c r="H30" s="48">
        <f t="shared" si="14"/>
        <v>3.8395711130872474</v>
      </c>
      <c r="I30" s="48">
        <f t="shared" si="15"/>
        <v>0.34236175758361292</v>
      </c>
      <c r="J30" s="48">
        <f t="shared" si="16"/>
        <v>1.0174863449681206</v>
      </c>
      <c r="K30" s="48">
        <f t="shared" si="17"/>
        <v>1.9965769788053687</v>
      </c>
      <c r="L30" s="48">
        <f t="shared" si="18"/>
        <v>3.8395711130872474</v>
      </c>
    </row>
    <row r="31" spans="2:13" x14ac:dyDescent="0.2">
      <c r="B31" s="26">
        <f t="shared" si="9"/>
        <v>27</v>
      </c>
      <c r="C31" s="47">
        <f>IF($E$9="H",+(VLOOKUP(B31,'CSO2001'!_xlnm.Print_Area,11)-VLOOKUP(B31+$E$8,'CSO2001'!_xlnm.Print_Area,11))/(VLOOKUP(B31,'CSO2001'!_xlnm.Print_Area,9)-VLOOKUP(B31+$E$8,'CSO2001'!_xlnm.Print_Area,9))*$E$7,+(VLOOKUP(B31-3,'CSO2001'!_xlnm.Print_Area,11)-VLOOKUP(B31-3+$E$8,'CSO2001'!_xlnm.Print_Area,11))/(VLOOKUP(B31-3,'CSO2001'!_xlnm.Print_Area,9)-VLOOKUP(B31-3+$E$8,'CSO2001'!_xlnm.Print_Area,9))*$E$7)*(1+$E$10)</f>
        <v>1.9806177523801343</v>
      </c>
      <c r="D31" s="48">
        <f t="shared" si="10"/>
        <v>3.9612355047602685</v>
      </c>
      <c r="E31" s="48">
        <f t="shared" si="11"/>
        <v>4.2385219900934876</v>
      </c>
      <c r="F31" s="48">
        <f t="shared" si="12"/>
        <v>4.1989096350458848</v>
      </c>
      <c r="G31" s="48">
        <f t="shared" si="13"/>
        <v>4.1196849249506791</v>
      </c>
      <c r="H31" s="48">
        <f t="shared" si="14"/>
        <v>3.9612355047602685</v>
      </c>
      <c r="I31" s="48">
        <f t="shared" si="15"/>
        <v>0.35321016584112397</v>
      </c>
      <c r="J31" s="48">
        <f t="shared" si="16"/>
        <v>1.0497274087614712</v>
      </c>
      <c r="K31" s="48">
        <f t="shared" si="17"/>
        <v>2.0598424624753395</v>
      </c>
      <c r="L31" s="48">
        <f t="shared" si="18"/>
        <v>3.9612355047602685</v>
      </c>
    </row>
    <row r="32" spans="2:13" x14ac:dyDescent="0.2">
      <c r="B32" s="26">
        <f t="shared" si="9"/>
        <v>28</v>
      </c>
      <c r="C32" s="47">
        <f>IF($E$9="H",+(VLOOKUP(B32,'CSO2001'!_xlnm.Print_Area,11)-VLOOKUP(B32+$E$8,'CSO2001'!_xlnm.Print_Area,11))/(VLOOKUP(B32,'CSO2001'!_xlnm.Print_Area,9)-VLOOKUP(B32+$E$8,'CSO2001'!_xlnm.Print_Area,9))*$E$7,+(VLOOKUP(B32-3,'CSO2001'!_xlnm.Print_Area,11)-VLOOKUP(B32-3+$E$8,'CSO2001'!_xlnm.Print_Area,11))/(VLOOKUP(B32-3,'CSO2001'!_xlnm.Print_Area,9)-VLOOKUP(B32-3+$E$8,'CSO2001'!_xlnm.Print_Area,9))*$E$7)*(1+$E$10)</f>
        <v>2.0507298990307756</v>
      </c>
      <c r="D32" s="48">
        <f t="shared" si="10"/>
        <v>4.1014597980615513</v>
      </c>
      <c r="E32" s="48">
        <f t="shared" si="11"/>
        <v>4.3885619839258601</v>
      </c>
      <c r="F32" s="48">
        <f t="shared" si="12"/>
        <v>4.3475473859452443</v>
      </c>
      <c r="G32" s="48">
        <f t="shared" si="13"/>
        <v>4.2655181899840136</v>
      </c>
      <c r="H32" s="48">
        <f t="shared" si="14"/>
        <v>4.1014597980615513</v>
      </c>
      <c r="I32" s="48">
        <f t="shared" si="15"/>
        <v>0.36571349866048836</v>
      </c>
      <c r="J32" s="48">
        <f t="shared" si="16"/>
        <v>1.0868868464863111</v>
      </c>
      <c r="K32" s="48">
        <f t="shared" si="17"/>
        <v>2.1327590949920068</v>
      </c>
      <c r="L32" s="48">
        <f t="shared" si="18"/>
        <v>4.1014597980615513</v>
      </c>
    </row>
    <row r="33" spans="1:18" x14ac:dyDescent="0.2">
      <c r="B33" s="26">
        <f t="shared" si="9"/>
        <v>29</v>
      </c>
      <c r="C33" s="47">
        <f>IF($E$9="H",+(VLOOKUP(B33,'CSO2001'!_xlnm.Print_Area,11)-VLOOKUP(B33+$E$8,'CSO2001'!_xlnm.Print_Area,11))/(VLOOKUP(B33,'CSO2001'!_xlnm.Print_Area,9)-VLOOKUP(B33+$E$8,'CSO2001'!_xlnm.Print_Area,9))*$E$7,+(VLOOKUP(B33-3,'CSO2001'!_xlnm.Print_Area,11)-VLOOKUP(B33-3+$E$8,'CSO2001'!_xlnm.Print_Area,11))/(VLOOKUP(B33-3,'CSO2001'!_xlnm.Print_Area,9)-VLOOKUP(B33-3+$E$8,'CSO2001'!_xlnm.Print_Area,9))*$E$7)*(1+$E$10)</f>
        <v>2.1386305932115333</v>
      </c>
      <c r="D33" s="48">
        <f t="shared" si="10"/>
        <v>4.2772611864230665</v>
      </c>
      <c r="E33" s="48">
        <f t="shared" si="11"/>
        <v>4.5766694694726811</v>
      </c>
      <c r="F33" s="48">
        <f t="shared" si="12"/>
        <v>4.5338968576084504</v>
      </c>
      <c r="G33" s="48">
        <f t="shared" si="13"/>
        <v>4.4483516338799891</v>
      </c>
      <c r="H33" s="48">
        <f t="shared" si="14"/>
        <v>4.2772611864230665</v>
      </c>
      <c r="I33" s="48">
        <f t="shared" si="15"/>
        <v>0.38138912245605677</v>
      </c>
      <c r="J33" s="48">
        <f t="shared" si="16"/>
        <v>1.1334742144021126</v>
      </c>
      <c r="K33" s="48">
        <f t="shared" si="17"/>
        <v>2.2241758169399946</v>
      </c>
      <c r="L33" s="48">
        <f t="shared" si="18"/>
        <v>4.2772611864230665</v>
      </c>
    </row>
    <row r="34" spans="1:18" x14ac:dyDescent="0.2">
      <c r="A34" s="25">
        <f>D34*1000</f>
        <v>4503.1914827335777</v>
      </c>
      <c r="B34" s="26">
        <f t="shared" si="9"/>
        <v>30</v>
      </c>
      <c r="C34" s="47">
        <f>IF($E$9="H",+(VLOOKUP(B34,'CSO2001'!_xlnm.Print_Area,11)-VLOOKUP(B34+$E$8,'CSO2001'!_xlnm.Print_Area,11))/(VLOOKUP(B34,'CSO2001'!_xlnm.Print_Area,9)-VLOOKUP(B34+$E$8,'CSO2001'!_xlnm.Print_Area,9))*$E$7,+(VLOOKUP(B34-3,'CSO2001'!_xlnm.Print_Area,11)-VLOOKUP(B34-3+$E$8,'CSO2001'!_xlnm.Print_Area,11))/(VLOOKUP(B34-3,'CSO2001'!_xlnm.Print_Area,9)-VLOOKUP(B34-3+$E$8,'CSO2001'!_xlnm.Print_Area,9))*$E$7)*(1+$E$10)</f>
        <v>2.2515957413667889</v>
      </c>
      <c r="D34" s="48">
        <f t="shared" si="10"/>
        <v>4.5031914827335777</v>
      </c>
      <c r="E34" s="48">
        <f>+$D34*(1+$E$12)</f>
        <v>4.8184148865249288</v>
      </c>
      <c r="F34" s="48">
        <f>+$D34*(1+$F$12)</f>
        <v>4.7733829716975924</v>
      </c>
      <c r="G34" s="48">
        <f>+$D34*(1+$G$12)</f>
        <v>4.6833191420429205</v>
      </c>
      <c r="H34" s="48">
        <f>+$D34*(1+$H$12)</f>
        <v>4.5031914827335777</v>
      </c>
      <c r="I34" s="48">
        <f>+E34/12</f>
        <v>0.40153457387707742</v>
      </c>
      <c r="J34" s="48">
        <f>+F34/4</f>
        <v>1.1933457429243981</v>
      </c>
      <c r="K34" s="48">
        <f>+G34/2</f>
        <v>2.3416595710214603</v>
      </c>
      <c r="L34" s="48">
        <f>+H34</f>
        <v>4.5031914827335777</v>
      </c>
      <c r="M34" s="35"/>
      <c r="N34" s="35" t="e">
        <f>+#REF!/#REF!</f>
        <v>#REF!</v>
      </c>
      <c r="O34" s="35"/>
      <c r="P34" s="35"/>
      <c r="Q34" s="35"/>
      <c r="R34" s="35"/>
    </row>
    <row r="35" spans="1:18" x14ac:dyDescent="0.2">
      <c r="B35" s="26">
        <f t="shared" si="9"/>
        <v>31</v>
      </c>
      <c r="C35" s="47">
        <f>IF($E$9="H",+(VLOOKUP(B35,'CSO2001'!_xlnm.Print_Area,11)-VLOOKUP(B35+$E$8,'CSO2001'!_xlnm.Print_Area,11))/(VLOOKUP(B35,'CSO2001'!_xlnm.Print_Area,9)-VLOOKUP(B35+$E$8,'CSO2001'!_xlnm.Print_Area,9))*$E$7,+(VLOOKUP(B35-3,'CSO2001'!_xlnm.Print_Area,11)-VLOOKUP(B35-3+$E$8,'CSO2001'!_xlnm.Print_Area,11))/(VLOOKUP(B35-3,'CSO2001'!_xlnm.Print_Area,9)-VLOOKUP(B35-3+$E$8,'CSO2001'!_xlnm.Print_Area,9))*$E$7)*(1+$E$10)</f>
        <v>2.3907013628565035</v>
      </c>
      <c r="D35" s="48">
        <f t="shared" si="10"/>
        <v>4.781402725713007</v>
      </c>
      <c r="E35" s="48">
        <f t="shared" si="11"/>
        <v>5.1161009165129174</v>
      </c>
      <c r="F35" s="48">
        <f t="shared" si="12"/>
        <v>5.0682868892557877</v>
      </c>
      <c r="G35" s="48">
        <f t="shared" si="13"/>
        <v>4.9726588347415275</v>
      </c>
      <c r="H35" s="48">
        <f t="shared" si="14"/>
        <v>4.781402725713007</v>
      </c>
      <c r="I35" s="48">
        <f t="shared" si="15"/>
        <v>0.42634174304274314</v>
      </c>
      <c r="J35" s="48">
        <f t="shared" si="16"/>
        <v>1.2670717223139469</v>
      </c>
      <c r="K35" s="48">
        <f t="shared" si="17"/>
        <v>2.4863294173707637</v>
      </c>
      <c r="L35" s="48">
        <f t="shared" si="18"/>
        <v>4.781402725713007</v>
      </c>
      <c r="M35" s="35"/>
      <c r="N35" s="35" t="e">
        <f>+N34/2</f>
        <v>#REF!</v>
      </c>
      <c r="O35" s="35"/>
      <c r="P35" s="35"/>
      <c r="Q35" s="35"/>
      <c r="R35" s="35"/>
    </row>
    <row r="36" spans="1:18" x14ac:dyDescent="0.2">
      <c r="B36" s="26">
        <f t="shared" si="9"/>
        <v>32</v>
      </c>
      <c r="C36" s="47">
        <f>IF($E$9="H",+(VLOOKUP(B36,'CSO2001'!_xlnm.Print_Area,11)-VLOOKUP(B36+$E$8,'CSO2001'!_xlnm.Print_Area,11))/(VLOOKUP(B36,'CSO2001'!_xlnm.Print_Area,9)-VLOOKUP(B36+$E$8,'CSO2001'!_xlnm.Print_Area,9))*$E$7,+(VLOOKUP(B36-3,'CSO2001'!_xlnm.Print_Area,11)-VLOOKUP(B36-3+$E$8,'CSO2001'!_xlnm.Print_Area,11))/(VLOOKUP(B36-3,'CSO2001'!_xlnm.Print_Area,9)-VLOOKUP(B36-3+$E$8,'CSO2001'!_xlnm.Print_Area,9))*$E$7)*(1+$E$10)</f>
        <v>2.5559231813979979</v>
      </c>
      <c r="D36" s="48">
        <f t="shared" si="10"/>
        <v>5.1118463627959958</v>
      </c>
      <c r="E36" s="48">
        <f t="shared" si="11"/>
        <v>5.4696756081917162</v>
      </c>
      <c r="F36" s="48">
        <f t="shared" si="12"/>
        <v>5.4185571445637555</v>
      </c>
      <c r="G36" s="48">
        <f t="shared" si="13"/>
        <v>5.3163202173078359</v>
      </c>
      <c r="H36" s="48">
        <f t="shared" si="14"/>
        <v>5.1118463627959958</v>
      </c>
      <c r="I36" s="48">
        <f t="shared" si="15"/>
        <v>0.455806300682643</v>
      </c>
      <c r="J36" s="48">
        <f t="shared" si="16"/>
        <v>1.3546392861409389</v>
      </c>
      <c r="K36" s="48">
        <f t="shared" si="17"/>
        <v>2.6581601086539179</v>
      </c>
      <c r="L36" s="48">
        <f t="shared" si="18"/>
        <v>5.1118463627959958</v>
      </c>
      <c r="M36" s="35"/>
      <c r="N36" s="35"/>
      <c r="O36" s="35"/>
      <c r="P36" s="35"/>
      <c r="Q36" s="35"/>
      <c r="R36" s="35"/>
    </row>
    <row r="37" spans="1:18" x14ac:dyDescent="0.2">
      <c r="B37" s="26">
        <f t="shared" si="9"/>
        <v>33</v>
      </c>
      <c r="C37" s="47">
        <f>IF($E$9="H",+(VLOOKUP(B37,'CSO2001'!_xlnm.Print_Area,11)-VLOOKUP(B37+$E$8,'CSO2001'!_xlnm.Print_Area,11))/(VLOOKUP(B37,'CSO2001'!_xlnm.Print_Area,9)-VLOOKUP(B37+$E$8,'CSO2001'!_xlnm.Print_Area,9))*$E$7,+(VLOOKUP(B37-3,'CSO2001'!_xlnm.Print_Area,11)-VLOOKUP(B37-3+$E$8,'CSO2001'!_xlnm.Print_Area,11))/(VLOOKUP(B37-3,'CSO2001'!_xlnm.Print_Area,9)-VLOOKUP(B37-3+$E$8,'CSO2001'!_xlnm.Print_Area,9))*$E$7)*(1+$E$10)</f>
        <v>2.7483768002408477</v>
      </c>
      <c r="D37" s="48">
        <f t="shared" si="10"/>
        <v>5.4967536004816955</v>
      </c>
      <c r="E37" s="48">
        <f t="shared" si="11"/>
        <v>5.8815263525154142</v>
      </c>
      <c r="F37" s="48">
        <f t="shared" si="12"/>
        <v>5.8265588165105973</v>
      </c>
      <c r="G37" s="48">
        <f t="shared" si="13"/>
        <v>5.7166237445009633</v>
      </c>
      <c r="H37" s="48">
        <f t="shared" si="14"/>
        <v>5.4967536004816955</v>
      </c>
      <c r="I37" s="48">
        <f t="shared" si="15"/>
        <v>0.49012719604295119</v>
      </c>
      <c r="J37" s="48">
        <f t="shared" si="16"/>
        <v>1.4566397041276493</v>
      </c>
      <c r="K37" s="48">
        <f t="shared" si="17"/>
        <v>2.8583118722504817</v>
      </c>
      <c r="L37" s="48">
        <f t="shared" si="18"/>
        <v>5.4967536004816955</v>
      </c>
      <c r="M37" s="35"/>
      <c r="N37" s="35"/>
      <c r="O37" s="35"/>
      <c r="P37" s="35"/>
      <c r="Q37" s="35"/>
      <c r="R37" s="35"/>
    </row>
    <row r="38" spans="1:18" x14ac:dyDescent="0.2">
      <c r="B38" s="26">
        <f t="shared" si="9"/>
        <v>34</v>
      </c>
      <c r="C38" s="47">
        <f>IF($E$9="H",+(VLOOKUP(B38,'CSO2001'!_xlnm.Print_Area,11)-VLOOKUP(B38+$E$8,'CSO2001'!_xlnm.Print_Area,11))/(VLOOKUP(B38,'CSO2001'!_xlnm.Print_Area,9)-VLOOKUP(B38+$E$8,'CSO2001'!_xlnm.Print_Area,9))*$E$7,+(VLOOKUP(B38-3,'CSO2001'!_xlnm.Print_Area,11)-VLOOKUP(B38-3+$E$8,'CSO2001'!_xlnm.Print_Area,11))/(VLOOKUP(B38-3,'CSO2001'!_xlnm.Print_Area,9)-VLOOKUP(B38-3+$E$8,'CSO2001'!_xlnm.Print_Area,9))*$E$7)*(1+$E$10)</f>
        <v>2.9573188907304817</v>
      </c>
      <c r="D38" s="48">
        <f t="shared" si="10"/>
        <v>5.9146377814609634</v>
      </c>
      <c r="E38" s="48">
        <f t="shared" si="11"/>
        <v>6.3286624261632314</v>
      </c>
      <c r="F38" s="48">
        <f t="shared" si="12"/>
        <v>6.2695160483486214</v>
      </c>
      <c r="G38" s="48">
        <f t="shared" si="13"/>
        <v>6.1512232927194024</v>
      </c>
      <c r="H38" s="48">
        <f t="shared" si="14"/>
        <v>5.9146377814609634</v>
      </c>
      <c r="I38" s="48">
        <f t="shared" si="15"/>
        <v>0.52738853551360265</v>
      </c>
      <c r="J38" s="48">
        <f t="shared" si="16"/>
        <v>1.5673790120871554</v>
      </c>
      <c r="K38" s="48">
        <f t="shared" si="17"/>
        <v>3.0756116463597012</v>
      </c>
      <c r="L38" s="48">
        <f t="shared" si="18"/>
        <v>5.9146377814609634</v>
      </c>
      <c r="M38" s="35"/>
      <c r="N38" s="35"/>
      <c r="O38" s="35"/>
      <c r="P38" s="35"/>
      <c r="Q38" s="35"/>
      <c r="R38" s="35"/>
    </row>
    <row r="39" spans="1:18" x14ac:dyDescent="0.2">
      <c r="B39" s="26">
        <f t="shared" si="9"/>
        <v>35</v>
      </c>
      <c r="C39" s="47">
        <f>IF($E$9="H",+(VLOOKUP(B39,'CSO2001'!_xlnm.Print_Area,11)-VLOOKUP(B39+$E$8,'CSO2001'!_xlnm.Print_Area,11))/(VLOOKUP(B39,'CSO2001'!_xlnm.Print_Area,9)-VLOOKUP(B39+$E$8,'CSO2001'!_xlnm.Print_Area,9))*$E$7,+(VLOOKUP(B39-3,'CSO2001'!_xlnm.Print_Area,11)-VLOOKUP(B39-3+$E$8,'CSO2001'!_xlnm.Print_Area,11))/(VLOOKUP(B39-3,'CSO2001'!_xlnm.Print_Area,9)-VLOOKUP(B39-3+$E$8,'CSO2001'!_xlnm.Print_Area,9))*$E$7)*(1+$E$10)</f>
        <v>3.1844316823026362</v>
      </c>
      <c r="D39" s="48">
        <f t="shared" si="10"/>
        <v>6.3688633646052724</v>
      </c>
      <c r="E39" s="48">
        <f>+$D39*(1+$E$12)</f>
        <v>6.814683800127642</v>
      </c>
      <c r="F39" s="48">
        <f>+$D39*(1+$F$12)</f>
        <v>6.750995166481589</v>
      </c>
      <c r="G39" s="48">
        <f>+$D39*(1+$G$12)</f>
        <v>6.6236178991894832</v>
      </c>
      <c r="H39" s="48">
        <f>+$D39*(1+$H$12)</f>
        <v>6.3688633646052724</v>
      </c>
      <c r="I39" s="48">
        <f>+E39/12</f>
        <v>0.5678903166773035</v>
      </c>
      <c r="J39" s="48">
        <f>+F39/4</f>
        <v>1.6877487916203973</v>
      </c>
      <c r="K39" s="48">
        <f>+G39/2</f>
        <v>3.3118089495947416</v>
      </c>
      <c r="L39" s="48">
        <f>+H39</f>
        <v>6.3688633646052724</v>
      </c>
      <c r="M39" s="35"/>
      <c r="N39" s="35"/>
      <c r="O39" s="35"/>
      <c r="P39" s="35"/>
      <c r="Q39" s="35"/>
      <c r="R39" s="35"/>
    </row>
    <row r="40" spans="1:18" x14ac:dyDescent="0.2">
      <c r="B40" s="26">
        <f t="shared" si="9"/>
        <v>36</v>
      </c>
      <c r="C40" s="47">
        <f>IF($E$9="H",+(VLOOKUP(B40,'CSO2001'!_xlnm.Print_Area,11)-VLOOKUP(B40+$E$8,'CSO2001'!_xlnm.Print_Area,11))/(VLOOKUP(B40,'CSO2001'!_xlnm.Print_Area,9)-VLOOKUP(B40+$E$8,'CSO2001'!_xlnm.Print_Area,9))*$E$7,+(VLOOKUP(B40-3,'CSO2001'!_xlnm.Print_Area,11)-VLOOKUP(B40-3+$E$8,'CSO2001'!_xlnm.Print_Area,11))/(VLOOKUP(B40-3,'CSO2001'!_xlnm.Print_Area,9)-VLOOKUP(B40-3+$E$8,'CSO2001'!_xlnm.Print_Area,9))*$E$7)*(1+$E$10)</f>
        <v>3.4343934576214128</v>
      </c>
      <c r="D40" s="48">
        <f t="shared" si="10"/>
        <v>6.8687869152428256</v>
      </c>
      <c r="E40" s="48">
        <f t="shared" si="11"/>
        <v>7.3496019993098241</v>
      </c>
      <c r="F40" s="48">
        <f t="shared" si="12"/>
        <v>7.2809141301573952</v>
      </c>
      <c r="G40" s="48">
        <f t="shared" si="13"/>
        <v>7.1435383918525392</v>
      </c>
      <c r="H40" s="48">
        <f t="shared" si="14"/>
        <v>6.8687869152428256</v>
      </c>
      <c r="I40" s="48">
        <f t="shared" si="15"/>
        <v>0.61246683327581863</v>
      </c>
      <c r="J40" s="48">
        <f t="shared" si="16"/>
        <v>1.8202285325393488</v>
      </c>
      <c r="K40" s="48">
        <f t="shared" si="17"/>
        <v>3.5717691959262696</v>
      </c>
      <c r="L40" s="48">
        <f t="shared" si="18"/>
        <v>6.8687869152428256</v>
      </c>
      <c r="M40" s="35"/>
      <c r="N40" s="35"/>
      <c r="O40" s="35"/>
      <c r="P40" s="35"/>
      <c r="Q40" s="35"/>
      <c r="R40" s="35"/>
    </row>
    <row r="41" spans="1:18" x14ac:dyDescent="0.2">
      <c r="B41" s="26">
        <f t="shared" si="9"/>
        <v>37</v>
      </c>
      <c r="C41" s="47">
        <f>IF($E$9="H",+(VLOOKUP(B41,'CSO2001'!_xlnm.Print_Area,11)-VLOOKUP(B41+$E$8,'CSO2001'!_xlnm.Print_Area,11))/(VLOOKUP(B41,'CSO2001'!_xlnm.Print_Area,9)-VLOOKUP(B41+$E$8,'CSO2001'!_xlnm.Print_Area,9))*$E$7,+(VLOOKUP(B41-3,'CSO2001'!_xlnm.Print_Area,11)-VLOOKUP(B41-3+$E$8,'CSO2001'!_xlnm.Print_Area,11))/(VLOOKUP(B41-3,'CSO2001'!_xlnm.Print_Area,9)-VLOOKUP(B41-3+$E$8,'CSO2001'!_xlnm.Print_Area,9))*$E$7)*(1+$E$10)</f>
        <v>3.7075130124988958</v>
      </c>
      <c r="D41" s="48">
        <f t="shared" si="10"/>
        <v>7.4150260249977915</v>
      </c>
      <c r="E41" s="48">
        <f t="shared" si="11"/>
        <v>7.9340778467476376</v>
      </c>
      <c r="F41" s="48">
        <f t="shared" si="12"/>
        <v>7.8599275864976592</v>
      </c>
      <c r="G41" s="48">
        <f t="shared" si="13"/>
        <v>7.7116270659977033</v>
      </c>
      <c r="H41" s="48">
        <f t="shared" si="14"/>
        <v>7.4150260249977915</v>
      </c>
      <c r="I41" s="48">
        <f t="shared" si="15"/>
        <v>0.66117315389563647</v>
      </c>
      <c r="J41" s="48">
        <f t="shared" si="16"/>
        <v>1.9649818966244148</v>
      </c>
      <c r="K41" s="48">
        <f t="shared" si="17"/>
        <v>3.8558135329988517</v>
      </c>
      <c r="L41" s="48">
        <f t="shared" si="18"/>
        <v>7.4150260249977915</v>
      </c>
      <c r="M41" s="35"/>
      <c r="N41" s="35"/>
      <c r="O41" s="35"/>
      <c r="P41" s="35"/>
      <c r="Q41" s="35"/>
      <c r="R41" s="35"/>
    </row>
    <row r="42" spans="1:18" x14ac:dyDescent="0.2">
      <c r="B42" s="26">
        <f t="shared" si="9"/>
        <v>38</v>
      </c>
      <c r="C42" s="47">
        <f>IF($E$9="H",+(VLOOKUP(B42,'CSO2001'!_xlnm.Print_Area,11)-VLOOKUP(B42+$E$8,'CSO2001'!_xlnm.Print_Area,11))/(VLOOKUP(B42,'CSO2001'!_xlnm.Print_Area,9)-VLOOKUP(B42+$E$8,'CSO2001'!_xlnm.Print_Area,9))*$E$7,+(VLOOKUP(B42-3,'CSO2001'!_xlnm.Print_Area,11)-VLOOKUP(B42-3+$E$8,'CSO2001'!_xlnm.Print_Area,11))/(VLOOKUP(B42-3,'CSO2001'!_xlnm.Print_Area,9)-VLOOKUP(B42-3+$E$8,'CSO2001'!_xlnm.Print_Area,9))*$E$7)*(1+$E$10)</f>
        <v>4.0147415397373161</v>
      </c>
      <c r="D42" s="48">
        <f t="shared" si="10"/>
        <v>8.0294830794746321</v>
      </c>
      <c r="E42" s="48">
        <f t="shared" si="11"/>
        <v>8.5915468950378564</v>
      </c>
      <c r="F42" s="48">
        <f t="shared" si="12"/>
        <v>8.5112520642431111</v>
      </c>
      <c r="G42" s="48">
        <f t="shared" si="13"/>
        <v>8.3506624026536169</v>
      </c>
      <c r="H42" s="48">
        <f t="shared" si="14"/>
        <v>8.0294830794746321</v>
      </c>
      <c r="I42" s="48">
        <f t="shared" si="15"/>
        <v>0.71596224125315466</v>
      </c>
      <c r="J42" s="48">
        <f t="shared" si="16"/>
        <v>2.1278130160607778</v>
      </c>
      <c r="K42" s="48">
        <f t="shared" si="17"/>
        <v>4.1753312013268085</v>
      </c>
      <c r="L42" s="48">
        <f t="shared" si="18"/>
        <v>8.0294830794746321</v>
      </c>
      <c r="M42" s="35"/>
      <c r="N42" s="35"/>
      <c r="O42" s="35"/>
      <c r="P42" s="35"/>
      <c r="Q42" s="35"/>
      <c r="R42" s="35"/>
    </row>
    <row r="43" spans="1:18" x14ac:dyDescent="0.2">
      <c r="B43" s="26">
        <f t="shared" si="9"/>
        <v>39</v>
      </c>
      <c r="C43" s="47">
        <f>IF($E$9="H",+(VLOOKUP(B43,'CSO2001'!_xlnm.Print_Area,11)-VLOOKUP(B43+$E$8,'CSO2001'!_xlnm.Print_Area,11))/(VLOOKUP(B43,'CSO2001'!_xlnm.Print_Area,9)-VLOOKUP(B43+$E$8,'CSO2001'!_xlnm.Print_Area,9))*$E$7,+(VLOOKUP(B43-3,'CSO2001'!_xlnm.Print_Area,11)-VLOOKUP(B43-3+$E$8,'CSO2001'!_xlnm.Print_Area,11))/(VLOOKUP(B43-3,'CSO2001'!_xlnm.Print_Area,9)-VLOOKUP(B43-3+$E$8,'CSO2001'!_xlnm.Print_Area,9))*$E$7)*(1+$E$10)</f>
        <v>4.3558467083960064</v>
      </c>
      <c r="D43" s="48">
        <f t="shared" si="10"/>
        <v>8.7116934167920128</v>
      </c>
      <c r="E43" s="48">
        <f t="shared" si="11"/>
        <v>9.3215119559674537</v>
      </c>
      <c r="F43" s="48">
        <f t="shared" si="12"/>
        <v>9.2343950217995339</v>
      </c>
      <c r="G43" s="48">
        <f t="shared" si="13"/>
        <v>9.0601611534636941</v>
      </c>
      <c r="H43" s="48">
        <f t="shared" si="14"/>
        <v>8.7116934167920128</v>
      </c>
      <c r="I43" s="48">
        <f t="shared" si="15"/>
        <v>0.77679266299728778</v>
      </c>
      <c r="J43" s="48">
        <f t="shared" si="16"/>
        <v>2.3085987554498835</v>
      </c>
      <c r="K43" s="48">
        <f t="shared" si="17"/>
        <v>4.5300805767318471</v>
      </c>
      <c r="L43" s="48">
        <f t="shared" si="18"/>
        <v>8.7116934167920128</v>
      </c>
      <c r="M43" s="35"/>
      <c r="N43" s="35"/>
      <c r="O43" s="35"/>
      <c r="P43" s="35"/>
      <c r="Q43" s="35"/>
      <c r="R43" s="35"/>
    </row>
    <row r="44" spans="1:18" x14ac:dyDescent="0.2">
      <c r="B44" s="26">
        <f t="shared" si="9"/>
        <v>40</v>
      </c>
      <c r="C44" s="47">
        <f>IF($E$9="H",+(VLOOKUP(B44,'CSO2001'!_xlnm.Print_Area,11)-VLOOKUP(B44+$E$8,'CSO2001'!_xlnm.Print_Area,11))/(VLOOKUP(B44,'CSO2001'!_xlnm.Print_Area,9)-VLOOKUP(B44+$E$8,'CSO2001'!_xlnm.Print_Area,9))*$E$7,+(VLOOKUP(B44-3,'CSO2001'!_xlnm.Print_Area,11)-VLOOKUP(B44-3+$E$8,'CSO2001'!_xlnm.Print_Area,11))/(VLOOKUP(B44-3,'CSO2001'!_xlnm.Print_Area,9)-VLOOKUP(B44-3+$E$8,'CSO2001'!_xlnm.Print_Area,9))*$E$7)*(1+$E$10)</f>
        <v>4.7406799995858631</v>
      </c>
      <c r="D44" s="48">
        <f t="shared" si="10"/>
        <v>9.4813599991717261</v>
      </c>
      <c r="E44" s="48">
        <f>+$D44*(1+$E$12)</f>
        <v>10.145055199113747</v>
      </c>
      <c r="F44" s="48">
        <f>+$D44*(1+$F$12)</f>
        <v>10.05024159912203</v>
      </c>
      <c r="G44" s="48">
        <f>+$D44*(1+$G$12)</f>
        <v>9.8606143991385959</v>
      </c>
      <c r="H44" s="48">
        <f>+$D44*(1+$H$12)</f>
        <v>9.4813599991717261</v>
      </c>
      <c r="I44" s="85">
        <f>+E44/12</f>
        <v>0.84542126659281225</v>
      </c>
      <c r="J44" s="48">
        <f>+F44/4</f>
        <v>2.5125603997805075</v>
      </c>
      <c r="K44" s="48">
        <f>+G44/2</f>
        <v>4.930307199569298</v>
      </c>
      <c r="L44" s="48">
        <f>+H44</f>
        <v>9.4813599991717261</v>
      </c>
      <c r="M44" s="35"/>
      <c r="N44" s="35"/>
      <c r="O44" s="35"/>
      <c r="P44" s="35"/>
      <c r="Q44" s="35"/>
      <c r="R44" s="35"/>
    </row>
    <row r="45" spans="1:18" x14ac:dyDescent="0.2">
      <c r="B45" s="26">
        <f t="shared" si="9"/>
        <v>41</v>
      </c>
      <c r="C45" s="47">
        <f>IF($E$9="H",+(VLOOKUP(B45,'CSO2001'!_xlnm.Print_Area,11)-VLOOKUP(B45+$E$8,'CSO2001'!_xlnm.Print_Area,11))/(VLOOKUP(B45,'CSO2001'!_xlnm.Print_Area,9)-VLOOKUP(B45+$E$8,'CSO2001'!_xlnm.Print_Area,9))*$E$7,+(VLOOKUP(B45-3,'CSO2001'!_xlnm.Print_Area,11)-VLOOKUP(B45-3+$E$8,'CSO2001'!_xlnm.Print_Area,11))/(VLOOKUP(B45-3,'CSO2001'!_xlnm.Print_Area,9)-VLOOKUP(B45-3+$E$8,'CSO2001'!_xlnm.Print_Area,9))*$E$7)*(1+$E$10)</f>
        <v>5.1772006711704988</v>
      </c>
      <c r="D45" s="48">
        <f t="shared" si="10"/>
        <v>10.354401342340998</v>
      </c>
      <c r="E45" s="48">
        <f t="shared" si="11"/>
        <v>11.079209436304868</v>
      </c>
      <c r="F45" s="48">
        <f t="shared" si="12"/>
        <v>10.975665422881457</v>
      </c>
      <c r="G45" s="48">
        <f t="shared" si="13"/>
        <v>10.768577396034638</v>
      </c>
      <c r="H45" s="48">
        <f t="shared" si="14"/>
        <v>10.354401342340998</v>
      </c>
      <c r="I45" s="48">
        <f t="shared" si="15"/>
        <v>0.92326745302540569</v>
      </c>
      <c r="J45" s="48">
        <f t="shared" si="16"/>
        <v>2.7439163557203643</v>
      </c>
      <c r="K45" s="48">
        <f t="shared" si="17"/>
        <v>5.3842886980173192</v>
      </c>
      <c r="L45" s="48">
        <f t="shared" si="18"/>
        <v>10.354401342340998</v>
      </c>
      <c r="M45" s="35"/>
      <c r="N45" s="35"/>
      <c r="O45" s="35"/>
      <c r="P45" s="35"/>
      <c r="Q45" s="35"/>
      <c r="R45" s="35"/>
    </row>
    <row r="46" spans="1:18" x14ac:dyDescent="0.2">
      <c r="B46" s="26">
        <f t="shared" si="9"/>
        <v>42</v>
      </c>
      <c r="C46" s="47">
        <f>IF($E$9="H",+(VLOOKUP(B46,'CSO2001'!_xlnm.Print_Area,11)-VLOOKUP(B46+$E$8,'CSO2001'!_xlnm.Print_Area,11))/(VLOOKUP(B46,'CSO2001'!_xlnm.Print_Area,9)-VLOOKUP(B46+$E$8,'CSO2001'!_xlnm.Print_Area,9))*$E$7,+(VLOOKUP(B46-3,'CSO2001'!_xlnm.Print_Area,11)-VLOOKUP(B46-3+$E$8,'CSO2001'!_xlnm.Print_Area,11))/(VLOOKUP(B46-3,'CSO2001'!_xlnm.Print_Area,9)-VLOOKUP(B46-3+$E$8,'CSO2001'!_xlnm.Print_Area,9))*$E$7)*(1+$E$10)</f>
        <v>5.6660918618639364</v>
      </c>
      <c r="D46" s="48">
        <f t="shared" si="10"/>
        <v>11.332183723727873</v>
      </c>
      <c r="E46" s="48">
        <f t="shared" si="11"/>
        <v>12.125436584388824</v>
      </c>
      <c r="F46" s="48">
        <f t="shared" si="12"/>
        <v>12.012114747151546</v>
      </c>
      <c r="G46" s="48">
        <f t="shared" si="13"/>
        <v>11.785471072676987</v>
      </c>
      <c r="H46" s="48">
        <f t="shared" si="14"/>
        <v>11.332183723727873</v>
      </c>
      <c r="I46" s="48">
        <f t="shared" si="15"/>
        <v>1.0104530486990686</v>
      </c>
      <c r="J46" s="48">
        <f t="shared" si="16"/>
        <v>3.0030286867878866</v>
      </c>
      <c r="K46" s="48">
        <f t="shared" si="17"/>
        <v>5.8927355363384937</v>
      </c>
      <c r="L46" s="48">
        <f t="shared" si="18"/>
        <v>11.332183723727873</v>
      </c>
      <c r="M46" s="35"/>
      <c r="N46" s="35"/>
      <c r="O46" s="35"/>
      <c r="P46" s="35"/>
      <c r="Q46" s="35"/>
      <c r="R46" s="35"/>
    </row>
    <row r="47" spans="1:18" x14ac:dyDescent="0.2">
      <c r="B47" s="26">
        <f t="shared" si="9"/>
        <v>43</v>
      </c>
      <c r="C47" s="47">
        <f>IF($E$9="H",+(VLOOKUP(B47,'CSO2001'!_xlnm.Print_Area,11)-VLOOKUP(B47+$E$8,'CSO2001'!_xlnm.Print_Area,11))/(VLOOKUP(B47,'CSO2001'!_xlnm.Print_Area,9)-VLOOKUP(B47+$E$8,'CSO2001'!_xlnm.Print_Area,9))*$E$7,+(VLOOKUP(B47-3,'CSO2001'!_xlnm.Print_Area,11)-VLOOKUP(B47-3+$E$8,'CSO2001'!_xlnm.Print_Area,11))/(VLOOKUP(B47-3,'CSO2001'!_xlnm.Print_Area,9)-VLOOKUP(B47-3+$E$8,'CSO2001'!_xlnm.Print_Area,9))*$E$7)*(1+$E$10)</f>
        <v>6.2088009842305079</v>
      </c>
      <c r="D47" s="48">
        <f t="shared" si="10"/>
        <v>12.417601968461016</v>
      </c>
      <c r="E47" s="48">
        <f t="shared" si="11"/>
        <v>13.286834106253288</v>
      </c>
      <c r="F47" s="48">
        <f t="shared" si="12"/>
        <v>13.162658086568678</v>
      </c>
      <c r="G47" s="48">
        <f t="shared" si="13"/>
        <v>12.914306047199457</v>
      </c>
      <c r="H47" s="48">
        <f t="shared" si="14"/>
        <v>12.417601968461016</v>
      </c>
      <c r="I47" s="48">
        <f t="shared" si="15"/>
        <v>1.1072361755211073</v>
      </c>
      <c r="J47" s="48">
        <f t="shared" si="16"/>
        <v>3.2906645216421695</v>
      </c>
      <c r="K47" s="48">
        <f t="shared" si="17"/>
        <v>6.4571530235997283</v>
      </c>
      <c r="L47" s="48">
        <f t="shared" si="18"/>
        <v>12.417601968461016</v>
      </c>
      <c r="M47" s="35"/>
      <c r="N47" s="35"/>
      <c r="O47" s="35"/>
      <c r="P47" s="35"/>
      <c r="Q47" s="35"/>
      <c r="R47" s="35"/>
    </row>
    <row r="48" spans="1:18" x14ac:dyDescent="0.2">
      <c r="B48" s="26">
        <f t="shared" si="9"/>
        <v>44</v>
      </c>
      <c r="C48" s="47">
        <f>IF($E$9="H",+(VLOOKUP(B48,'CSO2001'!_xlnm.Print_Area,11)-VLOOKUP(B48+$E$8,'CSO2001'!_xlnm.Print_Area,11))/(VLOOKUP(B48,'CSO2001'!_xlnm.Print_Area,9)-VLOOKUP(B48+$E$8,'CSO2001'!_xlnm.Print_Area,9))*$E$7,+(VLOOKUP(B48-3,'CSO2001'!_xlnm.Print_Area,11)-VLOOKUP(B48-3+$E$8,'CSO2001'!_xlnm.Print_Area,11))/(VLOOKUP(B48-3,'CSO2001'!_xlnm.Print_Area,9)-VLOOKUP(B48-3+$E$8,'CSO2001'!_xlnm.Print_Area,9))*$E$7)*(1+$E$10)</f>
        <v>6.7939939538238532</v>
      </c>
      <c r="D48" s="48">
        <f t="shared" si="10"/>
        <v>13.587987907647706</v>
      </c>
      <c r="E48" s="48">
        <f t="shared" si="11"/>
        <v>14.539147061183046</v>
      </c>
      <c r="F48" s="48">
        <f t="shared" si="12"/>
        <v>14.403267182106569</v>
      </c>
      <c r="G48" s="48">
        <f t="shared" si="13"/>
        <v>14.131507423953614</v>
      </c>
      <c r="H48" s="48">
        <f t="shared" si="14"/>
        <v>13.587987907647706</v>
      </c>
      <c r="I48" s="48">
        <f t="shared" si="15"/>
        <v>1.2115955884319205</v>
      </c>
      <c r="J48" s="48">
        <f t="shared" si="16"/>
        <v>3.6008167955266424</v>
      </c>
      <c r="K48" s="48">
        <f t="shared" si="17"/>
        <v>7.0657537119768072</v>
      </c>
      <c r="L48" s="48">
        <f t="shared" si="18"/>
        <v>13.587987907647706</v>
      </c>
      <c r="M48" s="35"/>
      <c r="N48" s="35"/>
      <c r="O48" s="35"/>
      <c r="P48" s="35"/>
      <c r="Q48" s="35"/>
      <c r="R48" s="35"/>
    </row>
    <row r="49" spans="2:18" x14ac:dyDescent="0.2">
      <c r="B49" s="26">
        <f t="shared" si="9"/>
        <v>45</v>
      </c>
      <c r="C49" s="47">
        <f>IF($E$9="H",+(VLOOKUP(B49,'CSO2001'!_xlnm.Print_Area,11)-VLOOKUP(B49+$E$8,'CSO2001'!_xlnm.Print_Area,11))/(VLOOKUP(B49,'CSO2001'!_xlnm.Print_Area,9)-VLOOKUP(B49+$E$8,'CSO2001'!_xlnm.Print_Area,9))*$E$7,+(VLOOKUP(B49-3,'CSO2001'!_xlnm.Print_Area,11)-VLOOKUP(B49-3+$E$8,'CSO2001'!_xlnm.Print_Area,11))/(VLOOKUP(B49-3,'CSO2001'!_xlnm.Print_Area,9)-VLOOKUP(B49-3+$E$8,'CSO2001'!_xlnm.Print_Area,9))*$E$7)*(1+$E$10)</f>
        <v>7.423309692185148</v>
      </c>
      <c r="D49" s="48">
        <f t="shared" si="10"/>
        <v>14.846619384370296</v>
      </c>
      <c r="E49" s="48">
        <f>+$D49*(1+$E$12)</f>
        <v>15.885882741276218</v>
      </c>
      <c r="F49" s="48">
        <f>+$D49*(1+$F$12)</f>
        <v>15.737416547432515</v>
      </c>
      <c r="G49" s="48">
        <f>+$D49*(1+$G$12)</f>
        <v>15.440484159745109</v>
      </c>
      <c r="H49" s="48">
        <f>+$D49*(1+$H$12)</f>
        <v>14.846619384370296</v>
      </c>
      <c r="I49" s="48">
        <f>+E49/12</f>
        <v>1.3238235617730181</v>
      </c>
      <c r="J49" s="48">
        <f>+F49/4</f>
        <v>3.9343541368581287</v>
      </c>
      <c r="K49" s="48">
        <f>+G49/2</f>
        <v>7.7202420798725546</v>
      </c>
      <c r="L49" s="48">
        <f>+H49</f>
        <v>14.846619384370296</v>
      </c>
      <c r="M49" s="35"/>
      <c r="N49" s="35"/>
      <c r="O49" s="35"/>
      <c r="P49" s="35"/>
      <c r="Q49" s="35"/>
      <c r="R49" s="35"/>
    </row>
    <row r="50" spans="2:18" x14ac:dyDescent="0.2">
      <c r="B50" s="26">
        <f t="shared" si="9"/>
        <v>46</v>
      </c>
      <c r="C50" s="47">
        <f>IF($E$9="H",+(VLOOKUP(B50,'CSO2001'!_xlnm.Print_Area,11)-VLOOKUP(B50+$E$8,'CSO2001'!_xlnm.Print_Area,11))/(VLOOKUP(B50,'CSO2001'!_xlnm.Print_Area,9)-VLOOKUP(B50+$E$8,'CSO2001'!_xlnm.Print_Area,9))*$E$7,+(VLOOKUP(B50-3,'CSO2001'!_xlnm.Print_Area,11)-VLOOKUP(B50-3+$E$8,'CSO2001'!_xlnm.Print_Area,11))/(VLOOKUP(B50-3,'CSO2001'!_xlnm.Print_Area,9)-VLOOKUP(B50-3+$E$8,'CSO2001'!_xlnm.Print_Area,9))*$E$7)*(1+$E$10)</f>
        <v>8.1070018495743561</v>
      </c>
      <c r="D50" s="48">
        <f t="shared" si="10"/>
        <v>16.214003699148712</v>
      </c>
      <c r="E50" s="48">
        <f t="shared" si="11"/>
        <v>17.348983958089121</v>
      </c>
      <c r="F50" s="48">
        <f t="shared" si="12"/>
        <v>17.186843921097637</v>
      </c>
      <c r="G50" s="48">
        <f t="shared" si="13"/>
        <v>16.862563847114661</v>
      </c>
      <c r="H50" s="48">
        <f t="shared" si="14"/>
        <v>16.214003699148712</v>
      </c>
      <c r="I50" s="48">
        <f t="shared" si="15"/>
        <v>1.4457486631740935</v>
      </c>
      <c r="J50" s="48">
        <f t="shared" si="16"/>
        <v>4.2967109802744092</v>
      </c>
      <c r="K50" s="48">
        <f t="shared" si="17"/>
        <v>8.4312819235573304</v>
      </c>
      <c r="L50" s="48">
        <f t="shared" si="18"/>
        <v>16.214003699148712</v>
      </c>
      <c r="M50" s="35"/>
      <c r="N50" s="35"/>
      <c r="O50" s="35"/>
      <c r="P50" s="35"/>
      <c r="Q50" s="35"/>
      <c r="R50" s="35"/>
    </row>
    <row r="51" spans="2:18" x14ac:dyDescent="0.2">
      <c r="B51" s="26">
        <f t="shared" si="9"/>
        <v>47</v>
      </c>
      <c r="C51" s="47">
        <f>IF($E$9="H",+(VLOOKUP(B51,'CSO2001'!_xlnm.Print_Area,11)-VLOOKUP(B51+$E$8,'CSO2001'!_xlnm.Print_Area,11))/(VLOOKUP(B51,'CSO2001'!_xlnm.Print_Area,9)-VLOOKUP(B51+$E$8,'CSO2001'!_xlnm.Print_Area,9))*$E$7,+(VLOOKUP(B51-3,'CSO2001'!_xlnm.Print_Area,11)-VLOOKUP(B51-3+$E$8,'CSO2001'!_xlnm.Print_Area,11))/(VLOOKUP(B51-3,'CSO2001'!_xlnm.Print_Area,9)-VLOOKUP(B51-3+$E$8,'CSO2001'!_xlnm.Print_Area,9))*$E$7)*(1+$E$10)</f>
        <v>8.8641556298411928</v>
      </c>
      <c r="D51" s="48">
        <f t="shared" si="10"/>
        <v>17.728311259682386</v>
      </c>
      <c r="E51" s="48">
        <f t="shared" si="11"/>
        <v>18.969293047860155</v>
      </c>
      <c r="F51" s="48">
        <f t="shared" si="12"/>
        <v>18.79200993526333</v>
      </c>
      <c r="G51" s="48">
        <f t="shared" si="13"/>
        <v>18.437443710069683</v>
      </c>
      <c r="H51" s="48">
        <f t="shared" si="14"/>
        <v>17.728311259682386</v>
      </c>
      <c r="I51" s="48">
        <f t="shared" si="15"/>
        <v>1.5807744206550129</v>
      </c>
      <c r="J51" s="48">
        <f t="shared" si="16"/>
        <v>4.6980024838158325</v>
      </c>
      <c r="K51" s="48">
        <f t="shared" si="17"/>
        <v>9.2187218550348415</v>
      </c>
      <c r="L51" s="48">
        <f t="shared" si="18"/>
        <v>17.728311259682386</v>
      </c>
      <c r="M51" s="35"/>
      <c r="N51" s="35"/>
      <c r="O51" s="35"/>
      <c r="P51" s="35"/>
      <c r="Q51" s="35"/>
      <c r="R51" s="35"/>
    </row>
    <row r="52" spans="2:18" x14ac:dyDescent="0.2">
      <c r="B52" s="26">
        <f t="shared" si="9"/>
        <v>48</v>
      </c>
      <c r="C52" s="47">
        <f>IF($E$9="H",+(VLOOKUP(B52,'CSO2001'!_xlnm.Print_Area,11)-VLOOKUP(B52+$E$8,'CSO2001'!_xlnm.Print_Area,11))/(VLOOKUP(B52,'CSO2001'!_xlnm.Print_Area,9)-VLOOKUP(B52+$E$8,'CSO2001'!_xlnm.Print_Area,9))*$E$7,+(VLOOKUP(B52-3,'CSO2001'!_xlnm.Print_Area,11)-VLOOKUP(B52-3+$E$8,'CSO2001'!_xlnm.Print_Area,11))/(VLOOKUP(B52-3,'CSO2001'!_xlnm.Print_Area,9)-VLOOKUP(B52-3+$E$8,'CSO2001'!_xlnm.Print_Area,9))*$E$7)*(1+$E$10)</f>
        <v>9.7116152277924446</v>
      </c>
      <c r="D52" s="48">
        <f t="shared" si="10"/>
        <v>19.423230455584889</v>
      </c>
      <c r="E52" s="48">
        <f t="shared" si="11"/>
        <v>20.782856587475834</v>
      </c>
      <c r="F52" s="48">
        <f t="shared" si="12"/>
        <v>20.588624282919984</v>
      </c>
      <c r="G52" s="48">
        <f t="shared" si="13"/>
        <v>20.200159673808287</v>
      </c>
      <c r="H52" s="48">
        <f t="shared" si="14"/>
        <v>19.423230455584889</v>
      </c>
      <c r="I52" s="48">
        <f t="shared" si="15"/>
        <v>1.7319047156229861</v>
      </c>
      <c r="J52" s="48">
        <f t="shared" si="16"/>
        <v>5.1471560707299959</v>
      </c>
      <c r="K52" s="48">
        <f t="shared" si="17"/>
        <v>10.100079836904143</v>
      </c>
      <c r="L52" s="48">
        <f t="shared" si="18"/>
        <v>19.423230455584889</v>
      </c>
      <c r="M52" s="35"/>
      <c r="N52" s="35"/>
      <c r="O52" s="35"/>
      <c r="P52" s="35"/>
      <c r="Q52" s="35"/>
      <c r="R52" s="35"/>
    </row>
    <row r="53" spans="2:18" x14ac:dyDescent="0.2">
      <c r="B53" s="26">
        <f t="shared" si="9"/>
        <v>49</v>
      </c>
      <c r="C53" s="47">
        <f>IF($E$9="H",+(VLOOKUP(B53,'CSO2001'!_xlnm.Print_Area,11)-VLOOKUP(B53+$E$8,'CSO2001'!_xlnm.Print_Area,11))/(VLOOKUP(B53,'CSO2001'!_xlnm.Print_Area,9)-VLOOKUP(B53+$E$8,'CSO2001'!_xlnm.Print_Area,9))*$E$7,+(VLOOKUP(B53-3,'CSO2001'!_xlnm.Print_Area,11)-VLOOKUP(B53-3+$E$8,'CSO2001'!_xlnm.Print_Area,11))/(VLOOKUP(B53-3,'CSO2001'!_xlnm.Print_Area,9)-VLOOKUP(B53-3+$E$8,'CSO2001'!_xlnm.Print_Area,9))*$E$7)*(1+$E$10)</f>
        <v>10.678275482625081</v>
      </c>
      <c r="D53" s="48">
        <f t="shared" si="10"/>
        <v>21.356550965250161</v>
      </c>
      <c r="E53" s="48">
        <f t="shared" si="11"/>
        <v>22.851509532817673</v>
      </c>
      <c r="F53" s="48">
        <f t="shared" si="12"/>
        <v>22.637944023165172</v>
      </c>
      <c r="G53" s="48">
        <f t="shared" si="13"/>
        <v>22.210813003860167</v>
      </c>
      <c r="H53" s="48">
        <f t="shared" si="14"/>
        <v>21.356550965250161</v>
      </c>
      <c r="I53" s="48">
        <f t="shared" si="15"/>
        <v>1.9042924610681393</v>
      </c>
      <c r="J53" s="48">
        <f t="shared" si="16"/>
        <v>5.659486005791293</v>
      </c>
      <c r="K53" s="48">
        <f t="shared" si="17"/>
        <v>11.105406501930084</v>
      </c>
      <c r="L53" s="48">
        <f t="shared" si="18"/>
        <v>21.356550965250161</v>
      </c>
      <c r="M53" s="35"/>
      <c r="N53" s="35"/>
      <c r="O53" s="35"/>
      <c r="P53" s="35"/>
      <c r="Q53" s="35"/>
      <c r="R53" s="35"/>
    </row>
    <row r="54" spans="2:18" x14ac:dyDescent="0.2">
      <c r="B54" s="26">
        <f t="shared" si="9"/>
        <v>50</v>
      </c>
      <c r="C54" s="47">
        <f>IF($E$9="H",+(VLOOKUP(B54,'CSO2001'!_xlnm.Print_Area,11)-VLOOKUP(B54+$E$8,'CSO2001'!_xlnm.Print_Area,11))/(VLOOKUP(B54,'CSO2001'!_xlnm.Print_Area,9)-VLOOKUP(B54+$E$8,'CSO2001'!_xlnm.Print_Area,9))*$E$7,+(VLOOKUP(B54-3,'CSO2001'!_xlnm.Print_Area,11)-VLOOKUP(B54-3+$E$8,'CSO2001'!_xlnm.Print_Area,11))/(VLOOKUP(B54-3,'CSO2001'!_xlnm.Print_Area,9)-VLOOKUP(B54-3+$E$8,'CSO2001'!_xlnm.Print_Area,9))*$E$7)*(1+$E$10)</f>
        <v>11.768861293066081</v>
      </c>
      <c r="D54" s="48">
        <f t="shared" si="10"/>
        <v>23.537722586132162</v>
      </c>
      <c r="E54" s="48">
        <f>+$D54*(1+$E$12)</f>
        <v>25.185363167161416</v>
      </c>
      <c r="F54" s="48">
        <f>+$D54*(1+$F$12)</f>
        <v>24.949985941300092</v>
      </c>
      <c r="G54" s="48">
        <f>+$D54*(1+$G$12)</f>
        <v>24.479231489577451</v>
      </c>
      <c r="H54" s="48">
        <f>+$D54*(1+$H$12)</f>
        <v>23.537722586132162</v>
      </c>
      <c r="I54" s="48">
        <f>+E54/12</f>
        <v>2.0987802639301179</v>
      </c>
      <c r="J54" s="48">
        <f>+F54/4</f>
        <v>6.237496485325023</v>
      </c>
      <c r="K54" s="48">
        <f>+G54/2</f>
        <v>12.239615744788725</v>
      </c>
      <c r="L54" s="48">
        <f>+H54</f>
        <v>23.537722586132162</v>
      </c>
      <c r="M54" s="35"/>
      <c r="N54" s="35"/>
      <c r="O54" s="35"/>
      <c r="P54" s="35"/>
      <c r="Q54" s="35"/>
      <c r="R54" s="35"/>
    </row>
    <row r="55" spans="2:18" x14ac:dyDescent="0.2">
      <c r="B55" s="26">
        <f t="shared" si="9"/>
        <v>51</v>
      </c>
      <c r="C55" s="47">
        <f>IF($E$9="H",+(VLOOKUP(B55,'CSO2001'!_xlnm.Print_Area,11)-VLOOKUP(B55+$E$8,'CSO2001'!_xlnm.Print_Area,11))/(VLOOKUP(B55,'CSO2001'!_xlnm.Print_Area,9)-VLOOKUP(B55+$E$8,'CSO2001'!_xlnm.Print_Area,9))*$E$7,+(VLOOKUP(B55-3,'CSO2001'!_xlnm.Print_Area,11)-VLOOKUP(B55-3+$E$8,'CSO2001'!_xlnm.Print_Area,11))/(VLOOKUP(B55-3,'CSO2001'!_xlnm.Print_Area,9)-VLOOKUP(B55-3+$E$8,'CSO2001'!_xlnm.Print_Area,9))*$E$7)*(1+$E$10)</f>
        <v>12.986332231549234</v>
      </c>
      <c r="D55" s="48">
        <f t="shared" si="10"/>
        <v>25.972664463098468</v>
      </c>
      <c r="E55" s="48">
        <f t="shared" si="11"/>
        <v>27.790750975515362</v>
      </c>
      <c r="F55" s="48">
        <f t="shared" si="12"/>
        <v>27.531024330884378</v>
      </c>
      <c r="G55" s="48">
        <f t="shared" si="13"/>
        <v>27.011571041622407</v>
      </c>
      <c r="H55" s="48">
        <f t="shared" si="14"/>
        <v>25.972664463098468</v>
      </c>
      <c r="I55" s="48">
        <f t="shared" si="15"/>
        <v>2.3158959146262803</v>
      </c>
      <c r="J55" s="48">
        <f t="shared" si="16"/>
        <v>6.8827560827210945</v>
      </c>
      <c r="K55" s="48">
        <f t="shared" si="17"/>
        <v>13.505785520811203</v>
      </c>
      <c r="L55" s="48">
        <f t="shared" si="18"/>
        <v>25.972664463098468</v>
      </c>
      <c r="M55" s="35"/>
      <c r="N55" s="35"/>
      <c r="O55" s="35"/>
      <c r="P55" s="35"/>
      <c r="Q55" s="35"/>
      <c r="R55" s="35"/>
    </row>
    <row r="56" spans="2:18" x14ac:dyDescent="0.2">
      <c r="B56" s="26">
        <f t="shared" si="9"/>
        <v>52</v>
      </c>
      <c r="C56" s="47">
        <f>IF($E$9="H",+(VLOOKUP(B56,'CSO2001'!_xlnm.Print_Area,11)-VLOOKUP(B56+$E$8,'CSO2001'!_xlnm.Print_Area,11))/(VLOOKUP(B56,'CSO2001'!_xlnm.Print_Area,9)-VLOOKUP(B56+$E$8,'CSO2001'!_xlnm.Print_Area,9))*$E$7,+(VLOOKUP(B56-3,'CSO2001'!_xlnm.Print_Area,11)-VLOOKUP(B56-3+$E$8,'CSO2001'!_xlnm.Print_Area,11))/(VLOOKUP(B56-3,'CSO2001'!_xlnm.Print_Area,9)-VLOOKUP(B56-3+$E$8,'CSO2001'!_xlnm.Print_Area,9))*$E$7)*(1+$E$10)</f>
        <v>14.327355264871482</v>
      </c>
      <c r="D56" s="48">
        <f t="shared" si="10"/>
        <v>28.654710529742964</v>
      </c>
      <c r="E56" s="48">
        <f t="shared" si="11"/>
        <v>30.660540266824974</v>
      </c>
      <c r="F56" s="48">
        <f t="shared" si="12"/>
        <v>30.373993161527544</v>
      </c>
      <c r="G56" s="48">
        <f t="shared" si="13"/>
        <v>29.800898950932684</v>
      </c>
      <c r="H56" s="48">
        <f t="shared" si="14"/>
        <v>28.654710529742964</v>
      </c>
      <c r="I56" s="48">
        <f t="shared" si="15"/>
        <v>2.5550450222354146</v>
      </c>
      <c r="J56" s="48">
        <f t="shared" si="16"/>
        <v>7.593498290381886</v>
      </c>
      <c r="K56" s="48">
        <f t="shared" si="17"/>
        <v>14.900449475466342</v>
      </c>
      <c r="L56" s="48">
        <f t="shared" si="18"/>
        <v>28.654710529742964</v>
      </c>
      <c r="M56" s="35"/>
      <c r="N56" s="35"/>
      <c r="O56" s="35"/>
      <c r="P56" s="35"/>
      <c r="Q56" s="35"/>
      <c r="R56" s="35"/>
    </row>
    <row r="57" spans="2:18" x14ac:dyDescent="0.2">
      <c r="B57" s="26">
        <f t="shared" si="9"/>
        <v>53</v>
      </c>
      <c r="C57" s="47">
        <f>IF($E$9="H",+(VLOOKUP(B57,'CSO2001'!_xlnm.Print_Area,11)-VLOOKUP(B57+$E$8,'CSO2001'!_xlnm.Print_Area,11))/(VLOOKUP(B57,'CSO2001'!_xlnm.Print_Area,9)-VLOOKUP(B57+$E$8,'CSO2001'!_xlnm.Print_Area,9))*$E$7,+(VLOOKUP(B57-3,'CSO2001'!_xlnm.Print_Area,11)-VLOOKUP(B57-3+$E$8,'CSO2001'!_xlnm.Print_Area,11))/(VLOOKUP(B57-3,'CSO2001'!_xlnm.Print_Area,9)-VLOOKUP(B57-3+$E$8,'CSO2001'!_xlnm.Print_Area,9))*$E$7)*(1+$E$10)</f>
        <v>15.78103950766331</v>
      </c>
      <c r="D57" s="48">
        <f t="shared" si="10"/>
        <v>31.562079015326621</v>
      </c>
      <c r="E57" s="48">
        <f t="shared" si="11"/>
        <v>33.771424546399487</v>
      </c>
      <c r="F57" s="48">
        <f t="shared" si="12"/>
        <v>33.455803756246219</v>
      </c>
      <c r="G57" s="48">
        <f t="shared" si="13"/>
        <v>32.82456217593969</v>
      </c>
      <c r="H57" s="48">
        <f t="shared" si="14"/>
        <v>31.562079015326621</v>
      </c>
      <c r="I57" s="48">
        <f t="shared" si="15"/>
        <v>2.8142853788666238</v>
      </c>
      <c r="J57" s="48">
        <f t="shared" si="16"/>
        <v>8.3639509390615547</v>
      </c>
      <c r="K57" s="48">
        <f t="shared" si="17"/>
        <v>16.412281087969845</v>
      </c>
      <c r="L57" s="48">
        <f t="shared" si="18"/>
        <v>31.562079015326621</v>
      </c>
      <c r="M57" s="35"/>
      <c r="N57" s="35"/>
      <c r="O57" s="35"/>
      <c r="P57" s="35"/>
      <c r="Q57" s="35"/>
      <c r="R57" s="35"/>
    </row>
    <row r="58" spans="2:18" x14ac:dyDescent="0.2">
      <c r="B58" s="26">
        <f t="shared" si="9"/>
        <v>54</v>
      </c>
      <c r="C58" s="47">
        <f>IF($E$9="H",+(VLOOKUP(B58,'CSO2001'!_xlnm.Print_Area,11)-VLOOKUP(B58+$E$8,'CSO2001'!_xlnm.Print_Area,11))/(VLOOKUP(B58,'CSO2001'!_xlnm.Print_Area,9)-VLOOKUP(B58+$E$8,'CSO2001'!_xlnm.Print_Area,9))*$E$7,+(VLOOKUP(B58-3,'CSO2001'!_xlnm.Print_Area,11)-VLOOKUP(B58-3+$E$8,'CSO2001'!_xlnm.Print_Area,11))/(VLOOKUP(B58-3,'CSO2001'!_xlnm.Print_Area,9)-VLOOKUP(B58-3+$E$8,'CSO2001'!_xlnm.Print_Area,9))*$E$7)*(1+$E$10)</f>
        <v>17.354728703368746</v>
      </c>
      <c r="D58" s="48">
        <f t="shared" si="10"/>
        <v>34.709457406737492</v>
      </c>
      <c r="E58" s="48">
        <f t="shared" si="11"/>
        <v>37.139119425209117</v>
      </c>
      <c r="F58" s="48">
        <f t="shared" si="12"/>
        <v>36.792024851141747</v>
      </c>
      <c r="G58" s="48">
        <f t="shared" si="13"/>
        <v>36.097835703006993</v>
      </c>
      <c r="H58" s="48">
        <f t="shared" si="14"/>
        <v>34.709457406737492</v>
      </c>
      <c r="I58" s="48">
        <f t="shared" si="15"/>
        <v>3.0949266187674263</v>
      </c>
      <c r="J58" s="48">
        <f t="shared" si="16"/>
        <v>9.1980062127854367</v>
      </c>
      <c r="K58" s="48">
        <f t="shared" si="17"/>
        <v>18.048917851503496</v>
      </c>
      <c r="L58" s="48">
        <f t="shared" si="18"/>
        <v>34.709457406737492</v>
      </c>
      <c r="M58" s="35"/>
      <c r="N58" s="35"/>
      <c r="O58" s="35"/>
      <c r="P58" s="35"/>
      <c r="Q58" s="35"/>
      <c r="R58" s="35"/>
    </row>
    <row r="59" spans="2:18" x14ac:dyDescent="0.2">
      <c r="B59" s="26">
        <f t="shared" si="9"/>
        <v>55</v>
      </c>
      <c r="C59" s="47">
        <f>IF($E$9="H",+(VLOOKUP(B59,'CSO2001'!_xlnm.Print_Area,11)-VLOOKUP(B59+$E$8,'CSO2001'!_xlnm.Print_Area,11))/(VLOOKUP(B59,'CSO2001'!_xlnm.Print_Area,9)-VLOOKUP(B59+$E$8,'CSO2001'!_xlnm.Print_Area,9))*$E$7,+(VLOOKUP(B59-3,'CSO2001'!_xlnm.Print_Area,11)-VLOOKUP(B59-3+$E$8,'CSO2001'!_xlnm.Print_Area,11))/(VLOOKUP(B59-3,'CSO2001'!_xlnm.Print_Area,9)-VLOOKUP(B59-3+$E$8,'CSO2001'!_xlnm.Print_Area,9))*$E$7)*(1+$E$10)</f>
        <v>19.039708972906091</v>
      </c>
      <c r="D59" s="48">
        <f t="shared" si="10"/>
        <v>38.079417945812182</v>
      </c>
      <c r="E59" s="48">
        <f>+$D59*(1+$E$12)</f>
        <v>40.744977202019037</v>
      </c>
      <c r="F59" s="48">
        <f>+$D59*(1+$F$12)</f>
        <v>40.364183022560916</v>
      </c>
      <c r="G59" s="48">
        <f>+$D59*(1+$G$12)</f>
        <v>39.602594663644673</v>
      </c>
      <c r="H59" s="48">
        <f>+$D59*(1+$H$12)</f>
        <v>38.079417945812182</v>
      </c>
      <c r="I59" s="48">
        <f>+E59/12</f>
        <v>3.3954147668349197</v>
      </c>
      <c r="J59" s="48">
        <f>+F59/4</f>
        <v>10.091045755640229</v>
      </c>
      <c r="K59" s="48">
        <f>+G59/2</f>
        <v>19.801297331822337</v>
      </c>
      <c r="L59" s="48">
        <f>+H59</f>
        <v>38.079417945812182</v>
      </c>
      <c r="M59" s="35"/>
      <c r="N59" s="35"/>
      <c r="O59" s="35"/>
      <c r="P59" s="35"/>
      <c r="Q59" s="35"/>
      <c r="R59" s="35"/>
    </row>
    <row r="60" spans="2:18" x14ac:dyDescent="0.2">
      <c r="B60" s="26">
        <f t="shared" si="9"/>
        <v>56</v>
      </c>
      <c r="C60" s="47">
        <f>IF($E$9="H",+(VLOOKUP(B60,'CSO2001'!_xlnm.Print_Area,11)-VLOOKUP(B60+$E$8,'CSO2001'!_xlnm.Print_Area,11))/(VLOOKUP(B60,'CSO2001'!_xlnm.Print_Area,9)-VLOOKUP(B60+$E$8,'CSO2001'!_xlnm.Print_Area,9))*$E$7,+(VLOOKUP(B60-3,'CSO2001'!_xlnm.Print_Area,11)-VLOOKUP(B60-3+$E$8,'CSO2001'!_xlnm.Print_Area,11))/(VLOOKUP(B60-3,'CSO2001'!_xlnm.Print_Area,9)-VLOOKUP(B60-3+$E$8,'CSO2001'!_xlnm.Print_Area,9))*$E$7)*(1+$E$10)</f>
        <v>20.849492216973079</v>
      </c>
      <c r="D60" s="48">
        <f t="shared" si="10"/>
        <v>41.698984433946158</v>
      </c>
      <c r="E60" s="48">
        <f t="shared" si="11"/>
        <v>44.617913344322389</v>
      </c>
      <c r="F60" s="48">
        <f t="shared" si="12"/>
        <v>44.200923499982927</v>
      </c>
      <c r="G60" s="48">
        <f t="shared" si="13"/>
        <v>43.366943811304004</v>
      </c>
      <c r="H60" s="48">
        <f t="shared" si="14"/>
        <v>41.698984433946158</v>
      </c>
      <c r="I60" s="48">
        <f t="shared" si="15"/>
        <v>3.7181594453601989</v>
      </c>
      <c r="J60" s="48">
        <f t="shared" si="16"/>
        <v>11.050230874995732</v>
      </c>
      <c r="K60" s="48">
        <f t="shared" si="17"/>
        <v>21.683471905652002</v>
      </c>
      <c r="L60" s="48">
        <f t="shared" si="18"/>
        <v>41.698984433946158</v>
      </c>
      <c r="M60" s="35"/>
      <c r="N60" s="35"/>
      <c r="O60" s="35"/>
      <c r="P60" s="35"/>
      <c r="Q60" s="35"/>
      <c r="R60" s="35"/>
    </row>
    <row r="61" spans="2:18" x14ac:dyDescent="0.2">
      <c r="B61" s="26">
        <f t="shared" si="9"/>
        <v>57</v>
      </c>
      <c r="C61" s="47">
        <f>IF($E$9="H",+(VLOOKUP(B61,'CSO2001'!_xlnm.Print_Area,11)-VLOOKUP(B61+$E$8,'CSO2001'!_xlnm.Print_Area,11))/(VLOOKUP(B61,'CSO2001'!_xlnm.Print_Area,9)-VLOOKUP(B61+$E$8,'CSO2001'!_xlnm.Print_Area,9))*$E$7,+(VLOOKUP(B61-3,'CSO2001'!_xlnm.Print_Area,11)-VLOOKUP(B61-3+$E$8,'CSO2001'!_xlnm.Print_Area,11))/(VLOOKUP(B61-3,'CSO2001'!_xlnm.Print_Area,9)-VLOOKUP(B61-3+$E$8,'CSO2001'!_xlnm.Print_Area,9))*$E$7)*(1+$E$10)</f>
        <v>22.799646965455988</v>
      </c>
      <c r="D61" s="48">
        <f t="shared" si="10"/>
        <v>45.599293930911976</v>
      </c>
      <c r="E61" s="48">
        <f t="shared" si="11"/>
        <v>48.79124450607582</v>
      </c>
      <c r="F61" s="48">
        <f t="shared" si="12"/>
        <v>48.335251566766701</v>
      </c>
      <c r="G61" s="48">
        <f t="shared" si="13"/>
        <v>47.423265688148454</v>
      </c>
      <c r="H61" s="48">
        <f t="shared" si="14"/>
        <v>45.599293930911976</v>
      </c>
      <c r="I61" s="48">
        <f t="shared" si="15"/>
        <v>4.065937042172985</v>
      </c>
      <c r="J61" s="48">
        <f t="shared" si="16"/>
        <v>12.083812891691675</v>
      </c>
      <c r="K61" s="48">
        <f t="shared" si="17"/>
        <v>23.711632844074227</v>
      </c>
      <c r="L61" s="48">
        <f t="shared" si="18"/>
        <v>45.599293930911976</v>
      </c>
      <c r="M61" s="35"/>
      <c r="N61" s="35"/>
      <c r="O61" s="35"/>
      <c r="P61" s="35"/>
      <c r="Q61" s="35"/>
      <c r="R61" s="35"/>
    </row>
    <row r="62" spans="2:18" x14ac:dyDescent="0.2">
      <c r="B62" s="26">
        <f t="shared" si="9"/>
        <v>58</v>
      </c>
      <c r="C62" s="47">
        <f>IF($E$9="H",+(VLOOKUP(B62,'CSO2001'!_xlnm.Print_Area,11)-VLOOKUP(B62+$E$8,'CSO2001'!_xlnm.Print_Area,11))/(VLOOKUP(B62,'CSO2001'!_xlnm.Print_Area,9)-VLOOKUP(B62+$E$8,'CSO2001'!_xlnm.Print_Area,9))*$E$7,+(VLOOKUP(B62-3,'CSO2001'!_xlnm.Print_Area,11)-VLOOKUP(B62-3+$E$8,'CSO2001'!_xlnm.Print_Area,11))/(VLOOKUP(B62-3,'CSO2001'!_xlnm.Print_Area,9)-VLOOKUP(B62-3+$E$8,'CSO2001'!_xlnm.Print_Area,9))*$E$7)*(1+$E$10)</f>
        <v>24.939557035426457</v>
      </c>
      <c r="D62" s="48">
        <f t="shared" si="10"/>
        <v>49.879114070852914</v>
      </c>
      <c r="E62" s="48">
        <f t="shared" si="11"/>
        <v>53.37065205581262</v>
      </c>
      <c r="F62" s="48">
        <f t="shared" si="12"/>
        <v>52.871860915104094</v>
      </c>
      <c r="G62" s="48">
        <f t="shared" si="13"/>
        <v>51.874278633687034</v>
      </c>
      <c r="H62" s="48">
        <f t="shared" si="14"/>
        <v>49.879114070852914</v>
      </c>
      <c r="I62" s="48">
        <f t="shared" si="15"/>
        <v>4.4475543379843847</v>
      </c>
      <c r="J62" s="48">
        <f t="shared" si="16"/>
        <v>13.217965228776023</v>
      </c>
      <c r="K62" s="48">
        <f t="shared" si="17"/>
        <v>25.937139316843517</v>
      </c>
      <c r="L62" s="48">
        <f t="shared" si="18"/>
        <v>49.879114070852914</v>
      </c>
      <c r="M62" s="35"/>
      <c r="N62" s="35"/>
      <c r="O62" s="35"/>
      <c r="P62" s="35"/>
      <c r="Q62" s="35"/>
      <c r="R62" s="35"/>
    </row>
    <row r="63" spans="2:18" x14ac:dyDescent="0.2">
      <c r="B63" s="26">
        <f t="shared" si="9"/>
        <v>59</v>
      </c>
      <c r="C63" s="47">
        <f>IF($E$9="H",+(VLOOKUP(B63,'CSO2001'!_xlnm.Print_Area,11)-VLOOKUP(B63+$E$8,'CSO2001'!_xlnm.Print_Area,11))/(VLOOKUP(B63,'CSO2001'!_xlnm.Print_Area,9)-VLOOKUP(B63+$E$8,'CSO2001'!_xlnm.Print_Area,9))*$E$7,+(VLOOKUP(B63-3,'CSO2001'!_xlnm.Print_Area,11)-VLOOKUP(B63-3+$E$8,'CSO2001'!_xlnm.Print_Area,11))/(VLOOKUP(B63-3,'CSO2001'!_xlnm.Print_Area,9)-VLOOKUP(B63-3+$E$8,'CSO2001'!_xlnm.Print_Area,9))*$E$7)*(1+$E$10)</f>
        <v>27.302707623713157</v>
      </c>
      <c r="D63" s="48">
        <f t="shared" si="10"/>
        <v>54.605415247426315</v>
      </c>
      <c r="E63" s="48">
        <f t="shared" si="11"/>
        <v>58.427794314746158</v>
      </c>
      <c r="F63" s="48">
        <f t="shared" si="12"/>
        <v>57.881740162271896</v>
      </c>
      <c r="G63" s="48">
        <f t="shared" si="13"/>
        <v>56.789631857323371</v>
      </c>
      <c r="H63" s="48">
        <f t="shared" si="14"/>
        <v>54.605415247426315</v>
      </c>
      <c r="I63" s="48">
        <f t="shared" si="15"/>
        <v>4.8689828595621796</v>
      </c>
      <c r="J63" s="48">
        <f t="shared" si="16"/>
        <v>14.470435040567974</v>
      </c>
      <c r="K63" s="48">
        <f t="shared" si="17"/>
        <v>28.394815928661686</v>
      </c>
      <c r="L63" s="48">
        <f t="shared" si="18"/>
        <v>54.605415247426315</v>
      </c>
      <c r="M63" s="35"/>
      <c r="N63" s="35"/>
      <c r="O63" s="35"/>
      <c r="P63" s="35"/>
      <c r="Q63" s="35"/>
      <c r="R63" s="35"/>
    </row>
    <row r="64" spans="2:18" x14ac:dyDescent="0.2">
      <c r="B64" s="26">
        <f t="shared" si="9"/>
        <v>60</v>
      </c>
      <c r="C64" s="47">
        <f>IF($E$9="H",+(VLOOKUP(B64,'CSO2001'!_xlnm.Print_Area,11)-VLOOKUP(B64+$E$8,'CSO2001'!_xlnm.Print_Area,11))/(VLOOKUP(B64,'CSO2001'!_xlnm.Print_Area,9)-VLOOKUP(B64+$E$8,'CSO2001'!_xlnm.Print_Area,9))*$E$7,+(VLOOKUP(B64-3,'CSO2001'!_xlnm.Print_Area,11)-VLOOKUP(B64-3+$E$8,'CSO2001'!_xlnm.Print_Area,11))/(VLOOKUP(B64-3,'CSO2001'!_xlnm.Print_Area,9)-VLOOKUP(B64-3+$E$8,'CSO2001'!_xlnm.Print_Area,9))*$E$7)*(1+$E$10)</f>
        <v>29.894380081872985</v>
      </c>
      <c r="D64" s="48">
        <f t="shared" si="10"/>
        <v>59.78876016374597</v>
      </c>
      <c r="E64" s="48">
        <f>+$D64*(1+$E$12)</f>
        <v>63.973973375208189</v>
      </c>
      <c r="F64" s="48">
        <f>+$D64*(1+$F$12)</f>
        <v>63.376085773570729</v>
      </c>
      <c r="G64" s="48">
        <f>+$D64*(1+$G$12)</f>
        <v>62.180310570295809</v>
      </c>
      <c r="H64" s="48">
        <f>+$D64*(1+$H$12)</f>
        <v>59.78876016374597</v>
      </c>
      <c r="I64" s="48">
        <f>+E64/12</f>
        <v>5.3311644479340154</v>
      </c>
      <c r="J64" s="48">
        <f>+F64/4</f>
        <v>15.844021443392682</v>
      </c>
      <c r="K64" s="48">
        <f>+G64/2</f>
        <v>31.090155285147905</v>
      </c>
      <c r="L64" s="48">
        <f>+H64</f>
        <v>59.78876016374597</v>
      </c>
      <c r="M64" s="35"/>
      <c r="N64" s="35"/>
      <c r="O64" s="35"/>
      <c r="P64" s="35"/>
      <c r="Q64" s="35"/>
      <c r="R64" s="35"/>
    </row>
    <row r="65" spans="2:18" x14ac:dyDescent="0.2">
      <c r="B65" s="26">
        <f t="shared" si="9"/>
        <v>61</v>
      </c>
      <c r="C65" s="47">
        <f>IF($E$9="H",+(VLOOKUP(B65,'CSO2001'!_xlnm.Print_Area,11)-VLOOKUP(B65+$E$8,'CSO2001'!_xlnm.Print_Area,11))/(VLOOKUP(B65,'CSO2001'!_xlnm.Print_Area,9)-VLOOKUP(B65+$E$8,'CSO2001'!_xlnm.Print_Area,9))*$E$7,+(VLOOKUP(B65-3,'CSO2001'!_xlnm.Print_Area,11)-VLOOKUP(B65-3+$E$8,'CSO2001'!_xlnm.Print_Area,11))/(VLOOKUP(B65-3,'CSO2001'!_xlnm.Print_Area,9)-VLOOKUP(B65-3+$E$8,'CSO2001'!_xlnm.Print_Area,9))*$E$7)*(1+$E$10)</f>
        <v>32.723862151894849</v>
      </c>
      <c r="D65" s="48">
        <f t="shared" si="10"/>
        <v>65.447724303789698</v>
      </c>
      <c r="E65" s="48">
        <f t="shared" si="11"/>
        <v>70.029065005054974</v>
      </c>
      <c r="F65" s="48">
        <f t="shared" si="12"/>
        <v>69.374587762017086</v>
      </c>
      <c r="G65" s="48">
        <f t="shared" si="13"/>
        <v>68.065633275941295</v>
      </c>
      <c r="H65" s="48">
        <f t="shared" si="14"/>
        <v>65.447724303789698</v>
      </c>
      <c r="I65" s="48">
        <f t="shared" si="15"/>
        <v>5.8357554170879142</v>
      </c>
      <c r="J65" s="48">
        <f t="shared" si="16"/>
        <v>17.343646940504271</v>
      </c>
      <c r="K65" s="48">
        <f t="shared" si="17"/>
        <v>34.032816637970647</v>
      </c>
      <c r="L65" s="48">
        <f t="shared" si="18"/>
        <v>65.447724303789698</v>
      </c>
      <c r="M65" s="35"/>
      <c r="N65" s="35"/>
      <c r="O65" s="35"/>
      <c r="P65" s="35"/>
      <c r="Q65" s="35"/>
      <c r="R65" s="35"/>
    </row>
    <row r="66" spans="2:18" x14ac:dyDescent="0.2">
      <c r="B66" s="26">
        <f t="shared" si="9"/>
        <v>62</v>
      </c>
      <c r="C66" s="47">
        <f>IF($E$9="H",+(VLOOKUP(B66,'CSO2001'!_xlnm.Print_Area,11)-VLOOKUP(B66+$E$8,'CSO2001'!_xlnm.Print_Area,11))/(VLOOKUP(B66,'CSO2001'!_xlnm.Print_Area,9)-VLOOKUP(B66+$E$8,'CSO2001'!_xlnm.Print_Area,9))*$E$7,+(VLOOKUP(B66-3,'CSO2001'!_xlnm.Print_Area,11)-VLOOKUP(B66-3+$E$8,'CSO2001'!_xlnm.Print_Area,11))/(VLOOKUP(B66-3,'CSO2001'!_xlnm.Print_Area,9)-VLOOKUP(B66-3+$E$8,'CSO2001'!_xlnm.Print_Area,9))*$E$7)*(1+$E$10)</f>
        <v>35.788175291390729</v>
      </c>
      <c r="D66" s="48">
        <f t="shared" si="10"/>
        <v>71.576350582781458</v>
      </c>
      <c r="E66" s="48">
        <f t="shared" si="11"/>
        <v>76.586695123576163</v>
      </c>
      <c r="F66" s="48">
        <f t="shared" si="12"/>
        <v>75.870931617748354</v>
      </c>
      <c r="G66" s="48">
        <f t="shared" si="13"/>
        <v>74.439404606092722</v>
      </c>
      <c r="H66" s="48">
        <f t="shared" si="14"/>
        <v>71.576350582781458</v>
      </c>
      <c r="I66" s="48">
        <f t="shared" si="15"/>
        <v>6.3822245936313466</v>
      </c>
      <c r="J66" s="48">
        <f t="shared" si="16"/>
        <v>18.967732904437089</v>
      </c>
      <c r="K66" s="48">
        <f t="shared" si="17"/>
        <v>37.219702303046361</v>
      </c>
      <c r="L66" s="48">
        <f t="shared" si="18"/>
        <v>71.576350582781458</v>
      </c>
      <c r="M66" s="35"/>
      <c r="N66" s="35"/>
      <c r="O66" s="35"/>
      <c r="P66" s="35"/>
      <c r="Q66" s="35"/>
      <c r="R66" s="35"/>
    </row>
    <row r="67" spans="2:18" x14ac:dyDescent="0.2">
      <c r="B67" s="26">
        <f t="shared" si="9"/>
        <v>63</v>
      </c>
      <c r="C67" s="47">
        <f>IF($E$9="H",+(VLOOKUP(B67,'CSO2001'!_xlnm.Print_Area,11)-VLOOKUP(B67+$E$8,'CSO2001'!_xlnm.Print_Area,11))/(VLOOKUP(B67,'CSO2001'!_xlnm.Print_Area,9)-VLOOKUP(B67+$E$8,'CSO2001'!_xlnm.Print_Area,9))*$E$7,+(VLOOKUP(B67-3,'CSO2001'!_xlnm.Print_Area,11)-VLOOKUP(B67-3+$E$8,'CSO2001'!_xlnm.Print_Area,11))/(VLOOKUP(B67-3,'CSO2001'!_xlnm.Print_Area,9)-VLOOKUP(B67-3+$E$8,'CSO2001'!_xlnm.Print_Area,9))*$E$7)*(1+$E$10)</f>
        <v>39.097150749151801</v>
      </c>
      <c r="D67" s="48">
        <f t="shared" si="10"/>
        <v>78.194301498303602</v>
      </c>
      <c r="E67" s="48">
        <f t="shared" si="11"/>
        <v>83.667902603184857</v>
      </c>
      <c r="F67" s="48">
        <f t="shared" si="12"/>
        <v>82.885959588201828</v>
      </c>
      <c r="G67" s="48">
        <f t="shared" si="13"/>
        <v>81.322073558235743</v>
      </c>
      <c r="H67" s="48">
        <f t="shared" si="14"/>
        <v>78.194301498303602</v>
      </c>
      <c r="I67" s="48">
        <f t="shared" si="15"/>
        <v>6.9723252169320711</v>
      </c>
      <c r="J67" s="48">
        <f t="shared" si="16"/>
        <v>20.721489897050457</v>
      </c>
      <c r="K67" s="48">
        <f t="shared" si="17"/>
        <v>40.661036779117872</v>
      </c>
      <c r="L67" s="48">
        <f t="shared" si="18"/>
        <v>78.194301498303602</v>
      </c>
      <c r="M67" s="35"/>
      <c r="N67" s="35"/>
      <c r="O67" s="35"/>
      <c r="P67" s="35"/>
      <c r="Q67" s="35"/>
      <c r="R67" s="35"/>
    </row>
    <row r="68" spans="2:18" x14ac:dyDescent="0.2">
      <c r="B68" s="26">
        <f t="shared" si="9"/>
        <v>64</v>
      </c>
      <c r="C68" s="47">
        <f>IF($E$9="H",+(VLOOKUP(B68,'CSO2001'!_xlnm.Print_Area,11)-VLOOKUP(B68+$E$8,'CSO2001'!_xlnm.Print_Area,11))/(VLOOKUP(B68,'CSO2001'!_xlnm.Print_Area,9)-VLOOKUP(B68+$E$8,'CSO2001'!_xlnm.Print_Area,9))*$E$7,+(VLOOKUP(B68-3,'CSO2001'!_xlnm.Print_Area,11)-VLOOKUP(B68-3+$E$8,'CSO2001'!_xlnm.Print_Area,11))/(VLOOKUP(B68-3,'CSO2001'!_xlnm.Print_Area,9)-VLOOKUP(B68-3+$E$8,'CSO2001'!_xlnm.Print_Area,9))*$E$7)*(1+$E$10)</f>
        <v>42.675849703489227</v>
      </c>
      <c r="D68" s="48">
        <f t="shared" si="10"/>
        <v>85.351699406978454</v>
      </c>
      <c r="E68" s="48">
        <f t="shared" si="11"/>
        <v>91.326318365466946</v>
      </c>
      <c r="F68" s="48">
        <f t="shared" si="12"/>
        <v>90.472801371397168</v>
      </c>
      <c r="G68" s="48">
        <f t="shared" si="13"/>
        <v>88.765767383257597</v>
      </c>
      <c r="H68" s="48">
        <f t="shared" si="14"/>
        <v>85.351699406978454</v>
      </c>
      <c r="I68" s="48">
        <f t="shared" si="15"/>
        <v>7.6105265304555791</v>
      </c>
      <c r="J68" s="48">
        <f t="shared" si="16"/>
        <v>22.618200342849292</v>
      </c>
      <c r="K68" s="48">
        <f t="shared" si="17"/>
        <v>44.382883691628798</v>
      </c>
      <c r="L68" s="48">
        <f t="shared" si="18"/>
        <v>85.351699406978454</v>
      </c>
      <c r="M68" s="35"/>
      <c r="N68" s="35"/>
      <c r="O68" s="35"/>
      <c r="P68" s="35"/>
      <c r="Q68" s="35"/>
      <c r="R68" s="35"/>
    </row>
    <row r="69" spans="2:18" x14ac:dyDescent="0.2">
      <c r="B69" s="26">
        <f t="shared" si="9"/>
        <v>65</v>
      </c>
      <c r="C69" s="47">
        <f>IF($E$9="H",+(VLOOKUP(B69,'CSO2001'!_xlnm.Print_Area,11)-VLOOKUP(B69+$E$8,'CSO2001'!_xlnm.Print_Area,11))/(VLOOKUP(B69,'CSO2001'!_xlnm.Print_Area,9)-VLOOKUP(B69+$E$8,'CSO2001'!_xlnm.Print_Area,9))*$E$7,+(VLOOKUP(B69-3,'CSO2001'!_xlnm.Print_Area,11)-VLOOKUP(B69-3+$E$8,'CSO2001'!_xlnm.Print_Area,11))/(VLOOKUP(B69-3,'CSO2001'!_xlnm.Print_Area,9)-VLOOKUP(B69-3+$E$8,'CSO2001'!_xlnm.Print_Area,9))*$E$7)*(1+$E$10)</f>
        <v>46.561486547259364</v>
      </c>
      <c r="D69" s="48">
        <f t="shared" si="10"/>
        <v>93.122973094518727</v>
      </c>
      <c r="E69" s="48">
        <f t="shared" ref="E69:E74" si="19">+$D69*(1+$E$12)</f>
        <v>99.641581211135048</v>
      </c>
      <c r="F69" s="48">
        <f t="shared" ref="F69:F74" si="20">+$D69*(1+$F$12)</f>
        <v>98.710351480189857</v>
      </c>
      <c r="G69" s="48">
        <f t="shared" ref="G69:G74" si="21">+$D69*(1+$G$12)</f>
        <v>96.847892018299476</v>
      </c>
      <c r="H69" s="48">
        <f t="shared" ref="H69:H74" si="22">+$D69*(1+$H$12)</f>
        <v>93.122973094518727</v>
      </c>
      <c r="I69" s="48">
        <f t="shared" ref="I69:I74" si="23">+E69/12</f>
        <v>8.3034651009279212</v>
      </c>
      <c r="J69" s="48">
        <f t="shared" ref="J69:J74" si="24">+F69/4</f>
        <v>24.677587870047464</v>
      </c>
      <c r="K69" s="48">
        <f t="shared" ref="K69:K74" si="25">+G69/2</f>
        <v>48.423946009149738</v>
      </c>
      <c r="L69" s="48">
        <f t="shared" ref="L69:L74" si="26">+H69</f>
        <v>93.122973094518727</v>
      </c>
      <c r="M69" s="35"/>
      <c r="N69" s="35"/>
      <c r="O69" s="35"/>
      <c r="P69" s="35"/>
      <c r="Q69" s="35"/>
      <c r="R69" s="35"/>
    </row>
    <row r="70" spans="2:18" x14ac:dyDescent="0.2">
      <c r="B70" s="26">
        <f t="shared" si="9"/>
        <v>66</v>
      </c>
      <c r="C70" s="47">
        <f>IF($E$9="H",+(VLOOKUP(B70,'CSO2001'!_xlnm.Print_Area,11)-VLOOKUP(B70+$E$8,'CSO2001'!_xlnm.Print_Area,11))/(VLOOKUP(B70,'CSO2001'!_xlnm.Print_Area,9)-VLOOKUP(B70+$E$8,'CSO2001'!_xlnm.Print_Area,9))*$E$7,+(VLOOKUP(B70-3,'CSO2001'!_xlnm.Print_Area,11)-VLOOKUP(B70-3+$E$8,'CSO2001'!_xlnm.Print_Area,11))/(VLOOKUP(B70-3,'CSO2001'!_xlnm.Print_Area,9)-VLOOKUP(B70-3+$E$8,'CSO2001'!_xlnm.Print_Area,9))*$E$7)*(1+$E$10)</f>
        <v>50.773205096566947</v>
      </c>
      <c r="D70" s="48">
        <f>+C70/(1-$D$13)</f>
        <v>101.54641019313389</v>
      </c>
      <c r="E70" s="48">
        <f t="shared" si="19"/>
        <v>108.65465890665327</v>
      </c>
      <c r="F70" s="48">
        <f t="shared" si="20"/>
        <v>107.63919480472194</v>
      </c>
      <c r="G70" s="48">
        <f t="shared" si="21"/>
        <v>105.60826660085925</v>
      </c>
      <c r="H70" s="48">
        <f t="shared" si="22"/>
        <v>101.54641019313389</v>
      </c>
      <c r="I70" s="48">
        <f t="shared" si="23"/>
        <v>9.0545549088877717</v>
      </c>
      <c r="J70" s="48">
        <f t="shared" si="24"/>
        <v>26.909798701180485</v>
      </c>
      <c r="K70" s="48">
        <f t="shared" si="25"/>
        <v>52.804133300429626</v>
      </c>
      <c r="L70" s="48">
        <f t="shared" si="26"/>
        <v>101.54641019313389</v>
      </c>
    </row>
    <row r="71" spans="2:18" x14ac:dyDescent="0.2">
      <c r="B71" s="26">
        <f t="shared" si="9"/>
        <v>67</v>
      </c>
      <c r="C71" s="47">
        <f>IF($E$9="H",+(VLOOKUP(B71,'CSO2001'!_xlnm.Print_Area,11)-VLOOKUP(B71+$E$8,'CSO2001'!_xlnm.Print_Area,11))/(VLOOKUP(B71,'CSO2001'!_xlnm.Print_Area,9)-VLOOKUP(B71+$E$8,'CSO2001'!_xlnm.Print_Area,9))*$E$7,+(VLOOKUP(B71-3,'CSO2001'!_xlnm.Print_Area,11)-VLOOKUP(B71-3+$E$8,'CSO2001'!_xlnm.Print_Area,11))/(VLOOKUP(B71-3,'CSO2001'!_xlnm.Print_Area,9)-VLOOKUP(B71-3+$E$8,'CSO2001'!_xlnm.Print_Area,9))*$E$7)*(1+$E$10)</f>
        <v>55.359691637245263</v>
      </c>
      <c r="D71" s="48">
        <f>+C71/(1-$D$13)</f>
        <v>110.71938327449053</v>
      </c>
      <c r="E71" s="48">
        <f t="shared" si="19"/>
        <v>118.46974010370486</v>
      </c>
      <c r="F71" s="48">
        <f t="shared" si="20"/>
        <v>117.36254627095997</v>
      </c>
      <c r="G71" s="48">
        <f t="shared" si="21"/>
        <v>115.14815860547014</v>
      </c>
      <c r="H71" s="48">
        <f t="shared" si="22"/>
        <v>110.71938327449053</v>
      </c>
      <c r="I71" s="48">
        <f t="shared" si="23"/>
        <v>9.8724783419754054</v>
      </c>
      <c r="J71" s="48">
        <f t="shared" si="24"/>
        <v>29.340636567739992</v>
      </c>
      <c r="K71" s="48">
        <f t="shared" si="25"/>
        <v>57.574079302735072</v>
      </c>
      <c r="L71" s="48">
        <f t="shared" si="26"/>
        <v>110.71938327449053</v>
      </c>
    </row>
    <row r="72" spans="2:18" x14ac:dyDescent="0.2">
      <c r="B72" s="26">
        <f t="shared" si="9"/>
        <v>68</v>
      </c>
      <c r="C72" s="47">
        <f>IF($E$9="H",+(VLOOKUP(B72,'CSO2001'!_xlnm.Print_Area,11)-VLOOKUP(B72+$E$8,'CSO2001'!_xlnm.Print_Area,11))/(VLOOKUP(B72,'CSO2001'!_xlnm.Print_Area,9)-VLOOKUP(B72+$E$8,'CSO2001'!_xlnm.Print_Area,9))*$E$7,+(VLOOKUP(B72-3,'CSO2001'!_xlnm.Print_Area,11)-VLOOKUP(B72-3+$E$8,'CSO2001'!_xlnm.Print_Area,11))/(VLOOKUP(B72-3,'CSO2001'!_xlnm.Print_Area,9)-VLOOKUP(B72-3+$E$8,'CSO2001'!_xlnm.Print_Area,9))*$E$7)*(1+$E$10)</f>
        <v>60.343787828188631</v>
      </c>
      <c r="D72" s="48">
        <f>+C72/(1-$D$13)</f>
        <v>120.68757565637726</v>
      </c>
      <c r="E72" s="48">
        <f t="shared" si="19"/>
        <v>129.13570595232369</v>
      </c>
      <c r="F72" s="48">
        <f t="shared" si="20"/>
        <v>127.9288301957599</v>
      </c>
      <c r="G72" s="48">
        <f t="shared" si="21"/>
        <v>125.51507868263236</v>
      </c>
      <c r="H72" s="48">
        <f t="shared" si="22"/>
        <v>120.68757565637726</v>
      </c>
      <c r="I72" s="48">
        <f t="shared" si="23"/>
        <v>10.761308829360308</v>
      </c>
      <c r="J72" s="48">
        <f t="shared" si="24"/>
        <v>31.982207548939975</v>
      </c>
      <c r="K72" s="48">
        <f t="shared" si="25"/>
        <v>62.757539341316182</v>
      </c>
      <c r="L72" s="48">
        <f t="shared" si="26"/>
        <v>120.68757565637726</v>
      </c>
    </row>
    <row r="73" spans="2:18" x14ac:dyDescent="0.2">
      <c r="B73" s="26">
        <f t="shared" si="9"/>
        <v>69</v>
      </c>
      <c r="C73" s="47">
        <f>IF($E$9="H",+(VLOOKUP(B73,'CSO2001'!_xlnm.Print_Area,11)-VLOOKUP(B73+$E$8,'CSO2001'!_xlnm.Print_Area,11))/(VLOOKUP(B73,'CSO2001'!_xlnm.Print_Area,9)-VLOOKUP(B73+$E$8,'CSO2001'!_xlnm.Print_Area,9))*$E$7,+(VLOOKUP(B73-3,'CSO2001'!_xlnm.Print_Area,11)-VLOOKUP(B73-3+$E$8,'CSO2001'!_xlnm.Print_Area,11))/(VLOOKUP(B73-3,'CSO2001'!_xlnm.Print_Area,9)-VLOOKUP(B73-3+$E$8,'CSO2001'!_xlnm.Print_Area,9))*$E$7)*(1+$E$10)</f>
        <v>65.743828402752996</v>
      </c>
      <c r="D73" s="48">
        <f>+C73/(1-$D$13)</f>
        <v>131.48765680550599</v>
      </c>
      <c r="E73" s="48">
        <f t="shared" si="19"/>
        <v>140.69179278189142</v>
      </c>
      <c r="F73" s="48">
        <f t="shared" si="20"/>
        <v>139.37691621383635</v>
      </c>
      <c r="G73" s="48">
        <f t="shared" si="21"/>
        <v>136.74716307772624</v>
      </c>
      <c r="H73" s="48">
        <f t="shared" si="22"/>
        <v>131.48765680550599</v>
      </c>
      <c r="I73" s="48">
        <f t="shared" si="23"/>
        <v>11.724316065157618</v>
      </c>
      <c r="J73" s="48">
        <f t="shared" si="24"/>
        <v>34.844229053459088</v>
      </c>
      <c r="K73" s="48">
        <f t="shared" si="25"/>
        <v>68.373581538863121</v>
      </c>
      <c r="L73" s="48">
        <f t="shared" si="26"/>
        <v>131.48765680550599</v>
      </c>
    </row>
    <row r="74" spans="2:18" x14ac:dyDescent="0.2">
      <c r="B74" s="26">
        <f t="shared" si="9"/>
        <v>70</v>
      </c>
      <c r="C74" s="47">
        <f>IF($E$9="H",+(VLOOKUP(B74,'CSO2001'!_xlnm.Print_Area,11)-VLOOKUP(B74+$E$8,'CSO2001'!_xlnm.Print_Area,11))/(VLOOKUP(B74,'CSO2001'!_xlnm.Print_Area,9)-VLOOKUP(B74+$E$8,'CSO2001'!_xlnm.Print_Area,9))*$E$7,+(VLOOKUP(B74-3,'CSO2001'!_xlnm.Print_Area,11)-VLOOKUP(B74-3+$E$8,'CSO2001'!_xlnm.Print_Area,11))/(VLOOKUP(B74-3,'CSO2001'!_xlnm.Print_Area,9)-VLOOKUP(B74-3+$E$8,'CSO2001'!_xlnm.Print_Area,9))*$E$7)*(1+$E$10)</f>
        <v>71.616714116277876</v>
      </c>
      <c r="D74" s="48">
        <f>+C74/(1-$D$13)</f>
        <v>143.23342823255575</v>
      </c>
      <c r="E74" s="48">
        <f t="shared" si="19"/>
        <v>153.25976820883466</v>
      </c>
      <c r="F74" s="48">
        <f t="shared" si="20"/>
        <v>151.82743392650912</v>
      </c>
      <c r="G74" s="48">
        <f t="shared" si="21"/>
        <v>148.96276536185798</v>
      </c>
      <c r="H74" s="48">
        <f t="shared" si="22"/>
        <v>143.23342823255575</v>
      </c>
      <c r="I74" s="48">
        <f t="shared" si="23"/>
        <v>12.771647350736222</v>
      </c>
      <c r="J74" s="48">
        <f t="shared" si="24"/>
        <v>37.956858481627279</v>
      </c>
      <c r="K74" s="48">
        <f t="shared" si="25"/>
        <v>74.481382680928988</v>
      </c>
      <c r="L74" s="48">
        <f t="shared" si="26"/>
        <v>143.23342823255575</v>
      </c>
    </row>
  </sheetData>
  <mergeCells count="8">
    <mergeCell ref="I14:L14"/>
    <mergeCell ref="E15:H15"/>
    <mergeCell ref="B3:L3"/>
    <mergeCell ref="B4:L4"/>
    <mergeCell ref="B8:D8"/>
    <mergeCell ref="B9:D9"/>
    <mergeCell ref="B11:D11"/>
    <mergeCell ref="B12:D12"/>
  </mergeCells>
  <dataValidations disablePrompts="1" count="1">
    <dataValidation allowBlank="1" showInputMessage="1" showErrorMessage="1" prompt="CELDA PROTEGIDA!!!!" sqref="D14" xr:uid="{00000000-0002-0000-0500-000000000000}"/>
  </dataValidations>
  <pageMargins left="0.7" right="0.7" top="0.75" bottom="0.75" header="0.3" footer="0.3"/>
  <pageSetup scale="75" orientation="landscape" horizontalDpi="4294967293" verticalDpi="0" r:id="rId1"/>
  <headerFoot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4"/>
  <sheetViews>
    <sheetView workbookViewId="0">
      <selection activeCell="B23" sqref="B23:N23"/>
    </sheetView>
  </sheetViews>
  <sheetFormatPr defaultColWidth="11.42578125" defaultRowHeight="12.75" x14ac:dyDescent="0.2"/>
  <cols>
    <col min="1" max="2" width="11.42578125" customWidth="1"/>
    <col min="3" max="3" width="14.42578125" customWidth="1"/>
    <col min="4" max="4" width="15.28515625" customWidth="1"/>
    <col min="5" max="5" width="17.140625" customWidth="1"/>
    <col min="6" max="6" width="15.7109375" customWidth="1"/>
    <col min="7" max="7" width="14" customWidth="1"/>
    <col min="8" max="8" width="14.5703125" customWidth="1"/>
    <col min="9" max="9" width="14.7109375" customWidth="1"/>
    <col min="10" max="10" width="13.85546875" customWidth="1"/>
    <col min="11" max="11" width="16" customWidth="1"/>
    <col min="12" max="12" width="13.85546875" customWidth="1"/>
    <col min="13" max="13" width="12.28515625" bestFit="1" customWidth="1"/>
  </cols>
  <sheetData>
    <row r="1" spans="2:12" x14ac:dyDescent="0.2">
      <c r="K1" s="1" t="s">
        <v>42</v>
      </c>
    </row>
    <row r="2" spans="2:12" x14ac:dyDescent="0.2">
      <c r="L2" s="1"/>
    </row>
    <row r="3" spans="2:12" ht="18" x14ac:dyDescent="0.25">
      <c r="B3" s="161" t="s">
        <v>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2:12" ht="15.75" x14ac:dyDescent="0.25">
      <c r="B4" s="141" t="s">
        <v>38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6" spans="2:12" ht="6" customHeight="1" x14ac:dyDescent="0.2"/>
    <row r="7" spans="2:12" ht="18" x14ac:dyDescent="0.25">
      <c r="B7" s="44" t="s">
        <v>21</v>
      </c>
      <c r="C7" s="44"/>
      <c r="D7" s="44"/>
      <c r="E7" s="42">
        <v>1000</v>
      </c>
    </row>
    <row r="8" spans="2:12" ht="18" x14ac:dyDescent="0.25">
      <c r="B8" s="168" t="s">
        <v>22</v>
      </c>
      <c r="C8" s="168"/>
      <c r="D8" s="168"/>
      <c r="E8" s="40">
        <v>20</v>
      </c>
      <c r="F8" s="76" t="s">
        <v>17</v>
      </c>
      <c r="H8" s="49"/>
    </row>
    <row r="9" spans="2:12" ht="18" x14ac:dyDescent="0.25">
      <c r="B9" s="168" t="s">
        <v>23</v>
      </c>
      <c r="C9" s="168"/>
      <c r="D9" s="168"/>
      <c r="E9" s="40" t="s">
        <v>52</v>
      </c>
      <c r="F9" s="41"/>
    </row>
    <row r="10" spans="2:12" ht="18" x14ac:dyDescent="0.25">
      <c r="B10" s="81"/>
      <c r="C10" s="81" t="s">
        <v>68</v>
      </c>
      <c r="D10" s="81"/>
      <c r="E10" s="80">
        <v>0</v>
      </c>
      <c r="F10" s="41"/>
      <c r="I10" s="35"/>
    </row>
    <row r="11" spans="2:12" x14ac:dyDescent="0.2">
      <c r="B11" s="169" t="s">
        <v>9</v>
      </c>
      <c r="C11" s="169"/>
      <c r="D11" s="170"/>
      <c r="E11" s="28" t="s">
        <v>4</v>
      </c>
      <c r="F11" s="28" t="s">
        <v>5</v>
      </c>
      <c r="G11" s="28" t="s">
        <v>6</v>
      </c>
      <c r="H11" s="28" t="s">
        <v>7</v>
      </c>
    </row>
    <row r="12" spans="2:12" x14ac:dyDescent="0.2">
      <c r="B12" s="171" t="s">
        <v>8</v>
      </c>
      <c r="C12" s="171"/>
      <c r="D12" s="172"/>
      <c r="E12" s="29">
        <v>7.0000000000000007E-2</v>
      </c>
      <c r="F12" s="29">
        <v>0.06</v>
      </c>
      <c r="G12" s="29">
        <v>0.04</v>
      </c>
      <c r="H12" s="29">
        <v>0</v>
      </c>
    </row>
    <row r="13" spans="2:12" ht="13.5" thickBot="1" x14ac:dyDescent="0.25">
      <c r="C13" s="24"/>
      <c r="D13" s="45">
        <v>0.5</v>
      </c>
      <c r="E13" s="30"/>
      <c r="F13" s="30"/>
      <c r="G13" s="30"/>
      <c r="H13" s="30"/>
      <c r="I13" s="31"/>
      <c r="J13" s="31"/>
      <c r="K13" s="31"/>
      <c r="L13" s="31"/>
    </row>
    <row r="14" spans="2:12" ht="13.5" thickBot="1" x14ac:dyDescent="0.25">
      <c r="C14" s="2"/>
      <c r="D14" s="39"/>
      <c r="I14" s="162" t="s">
        <v>15</v>
      </c>
      <c r="J14" s="163"/>
      <c r="K14" s="163"/>
      <c r="L14" s="164"/>
    </row>
    <row r="15" spans="2:12" ht="13.5" thickBot="1" x14ac:dyDescent="0.25">
      <c r="B15" s="4" t="s">
        <v>1</v>
      </c>
      <c r="C15" s="74" t="s">
        <v>19</v>
      </c>
      <c r="D15" s="75" t="s">
        <v>20</v>
      </c>
      <c r="E15" s="165" t="s">
        <v>16</v>
      </c>
      <c r="F15" s="166"/>
      <c r="G15" s="166"/>
      <c r="H15" s="167"/>
      <c r="I15" s="4" t="s">
        <v>4</v>
      </c>
      <c r="J15" s="27" t="s">
        <v>5</v>
      </c>
      <c r="K15" s="5" t="s">
        <v>6</v>
      </c>
      <c r="L15" s="27" t="s">
        <v>7</v>
      </c>
    </row>
    <row r="16" spans="2:12" x14ac:dyDescent="0.2">
      <c r="B16" s="56">
        <v>12</v>
      </c>
      <c r="C16" s="47">
        <f>IF($E$9="H",+(VLOOKUP(B16,'CSO2001'!_xlnm.Print_Area,11)-VLOOKUP(B16+$E$8,'CSO2001'!_xlnm.Print_Area,11))/(VLOOKUP(B16,'CSO2001'!_xlnm.Print_Area,9)-VLOOKUP(B16+$E$8,'CSO2001'!_xlnm.Print_Area,9))*$E$7,+(VLOOKUP(B16-3,'CSO2001'!_xlnm.Print_Area,11)-VLOOKUP(B16-3+$E$8,'CSO2001'!_xlnm.Print_Area,11))/(VLOOKUP(B16-3,'CSO2001'!_xlnm.Print_Area,9)-VLOOKUP(B16-3+$E$8,'CSO2001'!_xlnm.Print_Area,9))*$E$7)*(1+$E$10)</f>
        <v>1.3609984023651596</v>
      </c>
      <c r="D16" s="48">
        <f>+C16/(1-$D$13)</f>
        <v>2.7219968047303191</v>
      </c>
      <c r="E16" s="48">
        <f>+$D16*(1+$E$12)</f>
        <v>2.9125365810614414</v>
      </c>
      <c r="F16" s="48">
        <f>+$D16*(1+$F$12)</f>
        <v>2.8853166130141386</v>
      </c>
      <c r="G16" s="48">
        <f>+$D16*(1+$G$12)</f>
        <v>2.8308766769195319</v>
      </c>
      <c r="H16" s="48">
        <f>+$D16*(1+$H$12)</f>
        <v>2.7219968047303191</v>
      </c>
      <c r="I16" s="48">
        <f>+E16/12</f>
        <v>0.24271138175512011</v>
      </c>
      <c r="J16" s="48">
        <f>+F16/4</f>
        <v>0.72132915325353464</v>
      </c>
      <c r="K16" s="48">
        <f>+G16/2</f>
        <v>1.415438338459766</v>
      </c>
      <c r="L16" s="48">
        <f>+H16</f>
        <v>2.7219968047303191</v>
      </c>
    </row>
    <row r="17" spans="2:13" x14ac:dyDescent="0.2">
      <c r="B17" s="56">
        <v>13</v>
      </c>
      <c r="C17" s="47">
        <f>IF($E$9="H",+(VLOOKUP(B17,'CSO2001'!_xlnm.Print_Area,11)-VLOOKUP(B17+$E$8,'CSO2001'!_xlnm.Print_Area,11))/(VLOOKUP(B17,'CSO2001'!_xlnm.Print_Area,9)-VLOOKUP(B17+$E$8,'CSO2001'!_xlnm.Print_Area,9))*$E$7,+(VLOOKUP(B17-3,'CSO2001'!_xlnm.Print_Area,11)-VLOOKUP(B17-3+$E$8,'CSO2001'!_xlnm.Print_Area,11))/(VLOOKUP(B17-3,'CSO2001'!_xlnm.Print_Area,9)-VLOOKUP(B17-3+$E$8,'CSO2001'!_xlnm.Print_Area,9))*$E$7)*(1+$E$10)</f>
        <v>1.4331133653736847</v>
      </c>
      <c r="D17" s="48">
        <f t="shared" ref="D17:D19" si="0">+C17/(1-$D$13)</f>
        <v>2.8662267307473694</v>
      </c>
      <c r="E17" s="48">
        <f t="shared" ref="E17:E19" si="1">+$D17*(1+$E$12)</f>
        <v>3.0668626018996856</v>
      </c>
      <c r="F17" s="48">
        <f t="shared" ref="F17:F19" si="2">+$D17*(1+$F$12)</f>
        <v>3.0382003345922119</v>
      </c>
      <c r="G17" s="48">
        <f t="shared" ref="G17:G19" si="3">+$D17*(1+$G$12)</f>
        <v>2.9808757999772642</v>
      </c>
      <c r="H17" s="48">
        <f t="shared" ref="H17:H19" si="4">+$D17*(1+$H$12)</f>
        <v>2.8662267307473694</v>
      </c>
      <c r="I17" s="48">
        <f t="shared" ref="I17:I19" si="5">+E17/12</f>
        <v>0.25557188349164045</v>
      </c>
      <c r="J17" s="48">
        <f t="shared" ref="J17:J19" si="6">+F17/4</f>
        <v>0.75955008364805299</v>
      </c>
      <c r="K17" s="48">
        <f t="shared" ref="K17:K19" si="7">+G17/2</f>
        <v>1.4904378999886321</v>
      </c>
      <c r="L17" s="48">
        <f t="shared" ref="L17:L19" si="8">+H17</f>
        <v>2.8662267307473694</v>
      </c>
    </row>
    <row r="18" spans="2:13" x14ac:dyDescent="0.2">
      <c r="B18" s="56">
        <v>14</v>
      </c>
      <c r="C18" s="47">
        <f>IF($E$9="H",+(VLOOKUP(B18,'CSO2001'!_xlnm.Print_Area,11)-VLOOKUP(B18+$E$8,'CSO2001'!_xlnm.Print_Area,11))/(VLOOKUP(B18,'CSO2001'!_xlnm.Print_Area,9)-VLOOKUP(B18+$E$8,'CSO2001'!_xlnm.Print_Area,9))*$E$7,+(VLOOKUP(B18-3,'CSO2001'!_xlnm.Print_Area,11)-VLOOKUP(B18-3+$E$8,'CSO2001'!_xlnm.Print_Area,11))/(VLOOKUP(B18-3,'CSO2001'!_xlnm.Print_Area,9)-VLOOKUP(B18-3+$E$8,'CSO2001'!_xlnm.Print_Area,9))*$E$7)*(1+$E$10)</f>
        <v>1.5023424476394089</v>
      </c>
      <c r="D18" s="48">
        <f t="shared" si="0"/>
        <v>3.0046848952788179</v>
      </c>
      <c r="E18" s="48">
        <f t="shared" si="1"/>
        <v>3.2150128379483354</v>
      </c>
      <c r="F18" s="48">
        <f t="shared" si="2"/>
        <v>3.1849659889955473</v>
      </c>
      <c r="G18" s="48">
        <f t="shared" si="3"/>
        <v>3.1248722910899707</v>
      </c>
      <c r="H18" s="48">
        <f t="shared" si="4"/>
        <v>3.0046848952788179</v>
      </c>
      <c r="I18" s="48">
        <f t="shared" si="5"/>
        <v>0.26791773649569461</v>
      </c>
      <c r="J18" s="48">
        <f t="shared" si="6"/>
        <v>0.79624149724888682</v>
      </c>
      <c r="K18" s="48">
        <f t="shared" si="7"/>
        <v>1.5624361455449853</v>
      </c>
      <c r="L18" s="48">
        <f t="shared" si="8"/>
        <v>3.0046848952788179</v>
      </c>
    </row>
    <row r="19" spans="2:13" x14ac:dyDescent="0.2">
      <c r="B19" s="56">
        <v>15</v>
      </c>
      <c r="C19" s="47">
        <f>IF($E$9="H",+(VLOOKUP(B19,'CSO2001'!_xlnm.Print_Area,11)-VLOOKUP(B19+$E$8,'CSO2001'!_xlnm.Print_Area,11))/(VLOOKUP(B19,'CSO2001'!_xlnm.Print_Area,9)-VLOOKUP(B19+$E$8,'CSO2001'!_xlnm.Print_Area,9))*$E$7,+(VLOOKUP(B19-3,'CSO2001'!_xlnm.Print_Area,11)-VLOOKUP(B19-3+$E$8,'CSO2001'!_xlnm.Print_Area,11))/(VLOOKUP(B19-3,'CSO2001'!_xlnm.Print_Area,9)-VLOOKUP(B19-3+$E$8,'CSO2001'!_xlnm.Print_Area,9))*$E$7)*(1+$E$10)</f>
        <v>1.5670426463495717</v>
      </c>
      <c r="D19" s="48">
        <f t="shared" si="0"/>
        <v>3.1340852926991434</v>
      </c>
      <c r="E19" s="48">
        <f t="shared" si="1"/>
        <v>3.3534712631880836</v>
      </c>
      <c r="F19" s="48">
        <f t="shared" si="2"/>
        <v>3.3221304102610922</v>
      </c>
      <c r="G19" s="48">
        <f t="shared" si="3"/>
        <v>3.2594487044071094</v>
      </c>
      <c r="H19" s="48">
        <f t="shared" si="4"/>
        <v>3.1340852926991434</v>
      </c>
      <c r="I19" s="48">
        <f t="shared" si="5"/>
        <v>0.27945593859900697</v>
      </c>
      <c r="J19" s="48">
        <f t="shared" si="6"/>
        <v>0.83053260256527306</v>
      </c>
      <c r="K19" s="48">
        <f t="shared" si="7"/>
        <v>1.6297243522035547</v>
      </c>
      <c r="L19" s="48">
        <f t="shared" si="8"/>
        <v>3.1340852926991434</v>
      </c>
    </row>
    <row r="20" spans="2:13" x14ac:dyDescent="0.2">
      <c r="B20" s="56">
        <v>16</v>
      </c>
      <c r="C20" s="47">
        <f>IF($E$9="H",+(VLOOKUP(B20,'CSO2001'!_xlnm.Print_Area,11)-VLOOKUP(B20+$E$8,'CSO2001'!_xlnm.Print_Area,11))/(VLOOKUP(B20,'CSO2001'!_xlnm.Print_Area,9)-VLOOKUP(B20+$E$8,'CSO2001'!_xlnm.Print_Area,9))*$E$7,+(VLOOKUP(B20-3,'CSO2001'!_xlnm.Print_Area,11)-VLOOKUP(B20-3+$E$8,'CSO2001'!_xlnm.Print_Area,11))/(VLOOKUP(B20-3,'CSO2001'!_xlnm.Print_Area,9)-VLOOKUP(B20-3+$E$8,'CSO2001'!_xlnm.Print_Area,9))*$E$7)*(1+$E$10)</f>
        <v>1.6207053362757424</v>
      </c>
      <c r="D20" s="48">
        <f>+C20/(1-$D$13)</f>
        <v>3.2414106725514849</v>
      </c>
      <c r="E20" s="48">
        <f>+$D20*(1+$E$12)</f>
        <v>3.468309419630089</v>
      </c>
      <c r="F20" s="48">
        <f>+$D20*(1+$F$12)</f>
        <v>3.4358953129045742</v>
      </c>
      <c r="G20" s="48">
        <f>+$D20*(1+$G$12)</f>
        <v>3.3710670994535445</v>
      </c>
      <c r="H20" s="48">
        <f>+$D20*(1+$H$12)</f>
        <v>3.2414106725514849</v>
      </c>
      <c r="I20" s="48">
        <f>+E20/12</f>
        <v>0.28902578496917408</v>
      </c>
      <c r="J20" s="48">
        <f>+F20/4</f>
        <v>0.85897382822614354</v>
      </c>
      <c r="K20" s="48">
        <f>+G20/2</f>
        <v>1.6855335497267723</v>
      </c>
      <c r="L20" s="48">
        <f>+H20</f>
        <v>3.2414106725514849</v>
      </c>
    </row>
    <row r="21" spans="2:13" x14ac:dyDescent="0.2">
      <c r="B21" s="56">
        <v>17</v>
      </c>
      <c r="C21" s="47">
        <f>IF($E$9="H",+(VLOOKUP(B21,'CSO2001'!_xlnm.Print_Area,11)-VLOOKUP(B21+$E$8,'CSO2001'!_xlnm.Print_Area,11))/(VLOOKUP(B21,'CSO2001'!_xlnm.Print_Area,9)-VLOOKUP(B21+$E$8,'CSO2001'!_xlnm.Print_Area,9))*$E$7,+(VLOOKUP(B21-3,'CSO2001'!_xlnm.Print_Area,11)-VLOOKUP(B21-3+$E$8,'CSO2001'!_xlnm.Print_Area,11))/(VLOOKUP(B21-3,'CSO2001'!_xlnm.Print_Area,9)-VLOOKUP(B21-3+$E$8,'CSO2001'!_xlnm.Print_Area,9))*$E$7)*(1+$E$10)</f>
        <v>1.6662867663445136</v>
      </c>
      <c r="D21" s="48">
        <f>+C21/(1-$D$13)</f>
        <v>3.3325735326890271</v>
      </c>
      <c r="E21" s="48">
        <f>+$D21*(1+$E$12)</f>
        <v>3.5658536799772591</v>
      </c>
      <c r="F21" s="48">
        <f>+$D21*(1+$F$12)</f>
        <v>3.532527944650369</v>
      </c>
      <c r="G21" s="48">
        <f>+$D21*(1+$G$12)</f>
        <v>3.4658764739965884</v>
      </c>
      <c r="H21" s="48">
        <f>+$D21*(1+$H$12)</f>
        <v>3.3325735326890271</v>
      </c>
      <c r="I21" s="48">
        <f>+E21/12</f>
        <v>0.29715447333143824</v>
      </c>
      <c r="J21" s="48">
        <f>+F21/4</f>
        <v>0.88313198616259225</v>
      </c>
      <c r="K21" s="48">
        <f>+G21/2</f>
        <v>1.7329382369982942</v>
      </c>
      <c r="L21" s="48">
        <f>+H21</f>
        <v>3.3325735326890271</v>
      </c>
    </row>
    <row r="22" spans="2:13" x14ac:dyDescent="0.2">
      <c r="B22" s="26">
        <v>18</v>
      </c>
      <c r="C22" s="47">
        <f>IF($E$9="H",+(VLOOKUP(B22,'CSO2001'!_xlnm.Print_Area,11)-VLOOKUP(B22+$E$8,'CSO2001'!_xlnm.Print_Area,11))/(VLOOKUP(B22,'CSO2001'!_xlnm.Print_Area,9)-VLOOKUP(B22+$E$8,'CSO2001'!_xlnm.Print_Area,9))*$E$7,+(VLOOKUP(B22-3,'CSO2001'!_xlnm.Print_Area,11)-VLOOKUP(B22-3+$E$8,'CSO2001'!_xlnm.Print_Area,11))/(VLOOKUP(B22-3,'CSO2001'!_xlnm.Print_Area,9)-VLOOKUP(B22-3+$E$8,'CSO2001'!_xlnm.Print_Area,9))*$E$7)*(1+$E$10)</f>
        <v>1.7029434085606296</v>
      </c>
      <c r="D22" s="48">
        <f>+C22/(1-$D$13)</f>
        <v>3.4058868171212593</v>
      </c>
      <c r="E22" s="48">
        <f>+$D22*(1+$E$12)</f>
        <v>3.6442988943197476</v>
      </c>
      <c r="F22" s="48">
        <f>+$D22*(1+$F$12)</f>
        <v>3.610240026148535</v>
      </c>
      <c r="G22" s="48">
        <f>+$D22*(1+$G$12)</f>
        <v>3.5421222898061098</v>
      </c>
      <c r="H22" s="48">
        <f>+$D22*(1+$H$12)</f>
        <v>3.4058868171212593</v>
      </c>
      <c r="I22" s="48">
        <f>+E22/12</f>
        <v>0.30369157452664564</v>
      </c>
      <c r="J22" s="48">
        <f>+F22/4</f>
        <v>0.90256000653713375</v>
      </c>
      <c r="K22" s="48">
        <f>+G22/2</f>
        <v>1.7710611449030549</v>
      </c>
      <c r="L22" s="48">
        <f>+H22</f>
        <v>3.4058868171212593</v>
      </c>
    </row>
    <row r="23" spans="2:13" x14ac:dyDescent="0.2">
      <c r="B23" s="26">
        <f t="shared" ref="B23:B74" si="9">+B22+1</f>
        <v>19</v>
      </c>
      <c r="C23" s="47">
        <f>IF($E$9="H",+(VLOOKUP(B23,'CSO2001'!_xlnm.Print_Area,11)-VLOOKUP(B23+$E$8,'CSO2001'!_xlnm.Print_Area,11))/(VLOOKUP(B23,'CSO2001'!_xlnm.Print_Area,9)-VLOOKUP(B23+$E$8,'CSO2001'!_xlnm.Print_Area,9))*$E$7,+(VLOOKUP(B23-3,'CSO2001'!_xlnm.Print_Area,11)-VLOOKUP(B23-3+$E$8,'CSO2001'!_xlnm.Print_Area,11))/(VLOOKUP(B23-3,'CSO2001'!_xlnm.Print_Area,9)-VLOOKUP(B23-3+$E$8,'CSO2001'!_xlnm.Print_Area,9))*$E$7)*(1+$E$10)</f>
        <v>1.7390097019876753</v>
      </c>
      <c r="D23" s="48">
        <f t="shared" ref="D23:D69" si="10">+C23/(1-$D$13)</f>
        <v>3.4780194039753507</v>
      </c>
      <c r="E23" s="48">
        <f t="shared" ref="E23:E68" si="11">+$D23*(1+$E$12)</f>
        <v>3.7214807622536257</v>
      </c>
      <c r="F23" s="48">
        <f t="shared" ref="F23:F68" si="12">+$D23*(1+$F$12)</f>
        <v>3.686700568213872</v>
      </c>
      <c r="G23" s="48">
        <f t="shared" ref="G23:G68" si="13">+$D23*(1+$G$12)</f>
        <v>3.6171401801343648</v>
      </c>
      <c r="H23" s="48">
        <f t="shared" ref="H23:H68" si="14">+$D23*(1+$H$12)</f>
        <v>3.4780194039753507</v>
      </c>
      <c r="I23" s="48">
        <f t="shared" ref="I23:I68" si="15">+E23/12</f>
        <v>0.31012339685446882</v>
      </c>
      <c r="J23" s="48">
        <f t="shared" ref="J23:J68" si="16">+F23/4</f>
        <v>0.92167514205346801</v>
      </c>
      <c r="K23" s="48">
        <f t="shared" ref="K23:K68" si="17">+G23/2</f>
        <v>1.8085700900671824</v>
      </c>
      <c r="L23" s="48">
        <f t="shared" ref="L23:L68" si="18">+H23</f>
        <v>3.4780194039753507</v>
      </c>
    </row>
    <row r="24" spans="2:13" x14ac:dyDescent="0.2">
      <c r="B24" s="26">
        <f t="shared" si="9"/>
        <v>20</v>
      </c>
      <c r="C24" s="47">
        <f>IF($E$9="H",+(VLOOKUP(B24,'CSO2001'!_xlnm.Print_Area,11)-VLOOKUP(B24+$E$8,'CSO2001'!_xlnm.Print_Area,11))/(VLOOKUP(B24,'CSO2001'!_xlnm.Print_Area,9)-VLOOKUP(B24+$E$8,'CSO2001'!_xlnm.Print_Area,9))*$E$7,+(VLOOKUP(B24-3,'CSO2001'!_xlnm.Print_Area,11)-VLOOKUP(B24-3+$E$8,'CSO2001'!_xlnm.Print_Area,11))/(VLOOKUP(B24-3,'CSO2001'!_xlnm.Print_Area,9)-VLOOKUP(B24-3+$E$8,'CSO2001'!_xlnm.Print_Area,9))*$E$7)*(1+$E$10)</f>
        <v>1.7776400740161244</v>
      </c>
      <c r="D24" s="48">
        <f t="shared" si="10"/>
        <v>3.5552801480322489</v>
      </c>
      <c r="E24" s="48">
        <f t="shared" si="11"/>
        <v>3.8041497583945065</v>
      </c>
      <c r="F24" s="48">
        <f t="shared" si="12"/>
        <v>3.7685969569141839</v>
      </c>
      <c r="G24" s="48">
        <f t="shared" si="13"/>
        <v>3.6974913539535388</v>
      </c>
      <c r="H24" s="48">
        <f t="shared" si="14"/>
        <v>3.5552801480322489</v>
      </c>
      <c r="I24" s="48">
        <f t="shared" si="15"/>
        <v>0.3170124798662089</v>
      </c>
      <c r="J24" s="48">
        <f t="shared" si="16"/>
        <v>0.94214923922854599</v>
      </c>
      <c r="K24" s="48">
        <f t="shared" si="17"/>
        <v>1.8487456769767694</v>
      </c>
      <c r="L24" s="48">
        <f t="shared" si="18"/>
        <v>3.5552801480322489</v>
      </c>
      <c r="M24" s="25"/>
    </row>
    <row r="25" spans="2:13" x14ac:dyDescent="0.2">
      <c r="B25" s="26">
        <f t="shared" si="9"/>
        <v>21</v>
      </c>
      <c r="C25" s="47">
        <f>IF($E$9="H",+(VLOOKUP(B25,'CSO2001'!_xlnm.Print_Area,11)-VLOOKUP(B25+$E$8,'CSO2001'!_xlnm.Print_Area,11))/(VLOOKUP(B25,'CSO2001'!_xlnm.Print_Area,9)-VLOOKUP(B25+$E$8,'CSO2001'!_xlnm.Print_Area,9))*$E$7,+(VLOOKUP(B25-3,'CSO2001'!_xlnm.Print_Area,11)-VLOOKUP(B25-3+$E$8,'CSO2001'!_xlnm.Print_Area,11))/(VLOOKUP(B25-3,'CSO2001'!_xlnm.Print_Area,9)-VLOOKUP(B25-3+$E$8,'CSO2001'!_xlnm.Print_Area,9))*$E$7)*(1+$E$10)</f>
        <v>1.8215965480065481</v>
      </c>
      <c r="D25" s="48">
        <f t="shared" si="10"/>
        <v>3.6431930960130963</v>
      </c>
      <c r="E25" s="48">
        <f t="shared" si="11"/>
        <v>3.8982166127340134</v>
      </c>
      <c r="F25" s="48">
        <f t="shared" si="12"/>
        <v>3.8617846817738823</v>
      </c>
      <c r="G25" s="48">
        <f t="shared" si="13"/>
        <v>3.7889208198536202</v>
      </c>
      <c r="H25" s="48">
        <f t="shared" si="14"/>
        <v>3.6431930960130963</v>
      </c>
      <c r="I25" s="48">
        <f t="shared" si="15"/>
        <v>0.32485138439450112</v>
      </c>
      <c r="J25" s="48">
        <f t="shared" si="16"/>
        <v>0.96544617044347059</v>
      </c>
      <c r="K25" s="48">
        <f t="shared" si="17"/>
        <v>1.8944604099268101</v>
      </c>
      <c r="L25" s="48">
        <f t="shared" si="18"/>
        <v>3.6431930960130963</v>
      </c>
    </row>
    <row r="26" spans="2:13" x14ac:dyDescent="0.2">
      <c r="B26" s="26">
        <f t="shared" si="9"/>
        <v>22</v>
      </c>
      <c r="C26" s="47">
        <f>IF($E$9="H",+(VLOOKUP(B26,'CSO2001'!_xlnm.Print_Area,11)-VLOOKUP(B26+$E$8,'CSO2001'!_xlnm.Print_Area,11))/(VLOOKUP(B26,'CSO2001'!_xlnm.Print_Area,9)-VLOOKUP(B26+$E$8,'CSO2001'!_xlnm.Print_Area,9))*$E$7,+(VLOOKUP(B26-3,'CSO2001'!_xlnm.Print_Area,11)-VLOOKUP(B26-3+$E$8,'CSO2001'!_xlnm.Print_Area,11))/(VLOOKUP(B26-3,'CSO2001'!_xlnm.Print_Area,9)-VLOOKUP(B26-3+$E$8,'CSO2001'!_xlnm.Print_Area,9))*$E$7)*(1+$E$10)</f>
        <v>1.8748604371215516</v>
      </c>
      <c r="D26" s="48">
        <f t="shared" si="10"/>
        <v>3.7497208742431032</v>
      </c>
      <c r="E26" s="48">
        <f t="shared" si="11"/>
        <v>4.0122013354401203</v>
      </c>
      <c r="F26" s="48">
        <f t="shared" si="12"/>
        <v>3.9747041266976897</v>
      </c>
      <c r="G26" s="48">
        <f t="shared" si="13"/>
        <v>3.8997097092128277</v>
      </c>
      <c r="H26" s="48">
        <f t="shared" si="14"/>
        <v>3.7497208742431032</v>
      </c>
      <c r="I26" s="48">
        <f t="shared" si="15"/>
        <v>0.33435011128667669</v>
      </c>
      <c r="J26" s="48">
        <f t="shared" si="16"/>
        <v>0.99367603167442242</v>
      </c>
      <c r="K26" s="48">
        <f t="shared" si="17"/>
        <v>1.9498548546064138</v>
      </c>
      <c r="L26" s="48">
        <f t="shared" si="18"/>
        <v>3.7497208742431032</v>
      </c>
    </row>
    <row r="27" spans="2:13" x14ac:dyDescent="0.2">
      <c r="B27" s="26">
        <f t="shared" si="9"/>
        <v>23</v>
      </c>
      <c r="C27" s="47">
        <f>IF($E$9="H",+(VLOOKUP(B27,'CSO2001'!_xlnm.Print_Area,11)-VLOOKUP(B27+$E$8,'CSO2001'!_xlnm.Print_Area,11))/(VLOOKUP(B27,'CSO2001'!_xlnm.Print_Area,9)-VLOOKUP(B27+$E$8,'CSO2001'!_xlnm.Print_Area,9))*$E$7,+(VLOOKUP(B27-3,'CSO2001'!_xlnm.Print_Area,11)-VLOOKUP(B27-3+$E$8,'CSO2001'!_xlnm.Print_Area,11))/(VLOOKUP(B27-3,'CSO2001'!_xlnm.Print_Area,9)-VLOOKUP(B27-3+$E$8,'CSO2001'!_xlnm.Print_Area,9))*$E$7)*(1+$E$10)</f>
        <v>1.9372870255253214</v>
      </c>
      <c r="D27" s="48">
        <f t="shared" si="10"/>
        <v>3.8745740510506428</v>
      </c>
      <c r="E27" s="48">
        <f t="shared" si="11"/>
        <v>4.1457942346241881</v>
      </c>
      <c r="F27" s="48">
        <f t="shared" si="12"/>
        <v>4.1070484941136813</v>
      </c>
      <c r="G27" s="48">
        <f t="shared" si="13"/>
        <v>4.0295570130926688</v>
      </c>
      <c r="H27" s="48">
        <f t="shared" si="14"/>
        <v>3.8745740510506428</v>
      </c>
      <c r="I27" s="48">
        <f t="shared" si="15"/>
        <v>0.34548285288534902</v>
      </c>
      <c r="J27" s="48">
        <f t="shared" si="16"/>
        <v>1.0267621235284203</v>
      </c>
      <c r="K27" s="48">
        <f t="shared" si="17"/>
        <v>2.0147785065463344</v>
      </c>
      <c r="L27" s="48">
        <f t="shared" si="18"/>
        <v>3.8745740510506428</v>
      </c>
    </row>
    <row r="28" spans="2:13" x14ac:dyDescent="0.2">
      <c r="B28" s="26">
        <f t="shared" si="9"/>
        <v>24</v>
      </c>
      <c r="C28" s="47">
        <f>IF($E$9="H",+(VLOOKUP(B28,'CSO2001'!_xlnm.Print_Area,11)-VLOOKUP(B28+$E$8,'CSO2001'!_xlnm.Print_Area,11))/(VLOOKUP(B28,'CSO2001'!_xlnm.Print_Area,9)-VLOOKUP(B28+$E$8,'CSO2001'!_xlnm.Print_Area,9))*$E$7,+(VLOOKUP(B28-3,'CSO2001'!_xlnm.Print_Area,11)-VLOOKUP(B28-3+$E$8,'CSO2001'!_xlnm.Print_Area,11))/(VLOOKUP(B28-3,'CSO2001'!_xlnm.Print_Area,9)-VLOOKUP(B28-3+$E$8,'CSO2001'!_xlnm.Print_Area,9))*$E$7)*(1+$E$10)</f>
        <v>2.0113388981609264</v>
      </c>
      <c r="D28" s="48">
        <f t="shared" si="10"/>
        <v>4.0226777963218527</v>
      </c>
      <c r="E28" s="48">
        <f t="shared" si="11"/>
        <v>4.3042652420643828</v>
      </c>
      <c r="F28" s="48">
        <f t="shared" si="12"/>
        <v>4.2640384641011639</v>
      </c>
      <c r="G28" s="48">
        <f t="shared" si="13"/>
        <v>4.1835849081747272</v>
      </c>
      <c r="H28" s="48">
        <f t="shared" si="14"/>
        <v>4.0226777963218527</v>
      </c>
      <c r="I28" s="48">
        <f t="shared" si="15"/>
        <v>0.35868877017203188</v>
      </c>
      <c r="J28" s="48">
        <f t="shared" si="16"/>
        <v>1.066009616025291</v>
      </c>
      <c r="K28" s="48">
        <f t="shared" si="17"/>
        <v>2.0917924540873636</v>
      </c>
      <c r="L28" s="48">
        <f t="shared" si="18"/>
        <v>4.0226777963218527</v>
      </c>
    </row>
    <row r="29" spans="2:13" x14ac:dyDescent="0.2">
      <c r="B29" s="26">
        <f t="shared" si="9"/>
        <v>25</v>
      </c>
      <c r="C29" s="47">
        <f>IF($E$9="H",+(VLOOKUP(B29,'CSO2001'!_xlnm.Print_Area,11)-VLOOKUP(B29+$E$8,'CSO2001'!_xlnm.Print_Area,11))/(VLOOKUP(B29,'CSO2001'!_xlnm.Print_Area,9)-VLOOKUP(B29+$E$8,'CSO2001'!_xlnm.Print_Area,9))*$E$7,+(VLOOKUP(B29-3,'CSO2001'!_xlnm.Print_Area,11)-VLOOKUP(B29-3+$E$8,'CSO2001'!_xlnm.Print_Area,11))/(VLOOKUP(B29-3,'CSO2001'!_xlnm.Print_Area,9)-VLOOKUP(B29-3+$E$8,'CSO2001'!_xlnm.Print_Area,9))*$E$7)*(1+$E$10)</f>
        <v>2.0991169417593096</v>
      </c>
      <c r="D29" s="48">
        <f t="shared" si="10"/>
        <v>4.1982338835186193</v>
      </c>
      <c r="E29" s="48">
        <f t="shared" si="11"/>
        <v>4.4921102553649233</v>
      </c>
      <c r="F29" s="48">
        <f t="shared" si="12"/>
        <v>4.4501279165297367</v>
      </c>
      <c r="G29" s="48">
        <f t="shared" si="13"/>
        <v>4.3661632388593645</v>
      </c>
      <c r="H29" s="48">
        <f t="shared" si="14"/>
        <v>4.1982338835186193</v>
      </c>
      <c r="I29" s="48">
        <f>+E29/12</f>
        <v>0.37434252128041029</v>
      </c>
      <c r="J29" s="48">
        <f>+F29/4</f>
        <v>1.1125319791324342</v>
      </c>
      <c r="K29" s="48">
        <f>+G29/2</f>
        <v>2.1830816194296823</v>
      </c>
      <c r="L29" s="48">
        <f>+H29</f>
        <v>4.1982338835186193</v>
      </c>
    </row>
    <row r="30" spans="2:13" x14ac:dyDescent="0.2">
      <c r="B30" s="26">
        <f t="shared" si="9"/>
        <v>26</v>
      </c>
      <c r="C30" s="47">
        <f>IF($E$9="H",+(VLOOKUP(B30,'CSO2001'!_xlnm.Print_Area,11)-VLOOKUP(B30+$E$8,'CSO2001'!_xlnm.Print_Area,11))/(VLOOKUP(B30,'CSO2001'!_xlnm.Print_Area,9)-VLOOKUP(B30+$E$8,'CSO2001'!_xlnm.Print_Area,9))*$E$7,+(VLOOKUP(B30-3,'CSO2001'!_xlnm.Print_Area,11)-VLOOKUP(B30-3+$E$8,'CSO2001'!_xlnm.Print_Area,11))/(VLOOKUP(B30-3,'CSO2001'!_xlnm.Print_Area,9)-VLOOKUP(B30-3+$E$8,'CSO2001'!_xlnm.Print_Area,9))*$E$7)*(1+$E$10)</f>
        <v>2.202142596331373</v>
      </c>
      <c r="D30" s="48">
        <f t="shared" si="10"/>
        <v>4.404285192662746</v>
      </c>
      <c r="E30" s="48">
        <f t="shared" si="11"/>
        <v>4.7125851561491388</v>
      </c>
      <c r="F30" s="48">
        <f t="shared" si="12"/>
        <v>4.6685423042225107</v>
      </c>
      <c r="G30" s="48">
        <f t="shared" si="13"/>
        <v>4.5804566003692564</v>
      </c>
      <c r="H30" s="48">
        <f t="shared" si="14"/>
        <v>4.404285192662746</v>
      </c>
      <c r="I30" s="48">
        <f t="shared" si="15"/>
        <v>0.3927154296790949</v>
      </c>
      <c r="J30" s="48">
        <f t="shared" si="16"/>
        <v>1.1671355760556277</v>
      </c>
      <c r="K30" s="48">
        <f t="shared" si="17"/>
        <v>2.2902283001846282</v>
      </c>
      <c r="L30" s="48">
        <f t="shared" si="18"/>
        <v>4.404285192662746</v>
      </c>
    </row>
    <row r="31" spans="2:13" x14ac:dyDescent="0.2">
      <c r="B31" s="26">
        <f t="shared" si="9"/>
        <v>27</v>
      </c>
      <c r="C31" s="47">
        <f>IF($E$9="H",+(VLOOKUP(B31,'CSO2001'!_xlnm.Print_Area,11)-VLOOKUP(B31+$E$8,'CSO2001'!_xlnm.Print_Area,11))/(VLOOKUP(B31,'CSO2001'!_xlnm.Print_Area,9)-VLOOKUP(B31+$E$8,'CSO2001'!_xlnm.Print_Area,9))*$E$7,+(VLOOKUP(B31-3,'CSO2001'!_xlnm.Print_Area,11)-VLOOKUP(B31-3+$E$8,'CSO2001'!_xlnm.Print_Area,11))/(VLOOKUP(B31-3,'CSO2001'!_xlnm.Print_Area,9)-VLOOKUP(B31-3+$E$8,'CSO2001'!_xlnm.Print_Area,9))*$E$7)*(1+$E$10)</f>
        <v>2.317096600155081</v>
      </c>
      <c r="D31" s="48">
        <f t="shared" si="10"/>
        <v>4.634193200310162</v>
      </c>
      <c r="E31" s="48">
        <f t="shared" si="11"/>
        <v>4.958586724331874</v>
      </c>
      <c r="F31" s="48">
        <f t="shared" si="12"/>
        <v>4.9122447923287718</v>
      </c>
      <c r="G31" s="48">
        <f t="shared" si="13"/>
        <v>4.8195609283225691</v>
      </c>
      <c r="H31" s="48">
        <f t="shared" si="14"/>
        <v>4.634193200310162</v>
      </c>
      <c r="I31" s="48">
        <f t="shared" si="15"/>
        <v>0.4132155603609895</v>
      </c>
      <c r="J31" s="48">
        <f t="shared" si="16"/>
        <v>1.2280611980821929</v>
      </c>
      <c r="K31" s="48">
        <f t="shared" si="17"/>
        <v>2.4097804641612846</v>
      </c>
      <c r="L31" s="48">
        <f t="shared" si="18"/>
        <v>4.634193200310162</v>
      </c>
    </row>
    <row r="32" spans="2:13" x14ac:dyDescent="0.2">
      <c r="B32" s="26">
        <f t="shared" si="9"/>
        <v>28</v>
      </c>
      <c r="C32" s="47">
        <f>IF($E$9="H",+(VLOOKUP(B32,'CSO2001'!_xlnm.Print_Area,11)-VLOOKUP(B32+$E$8,'CSO2001'!_xlnm.Print_Area,11))/(VLOOKUP(B32,'CSO2001'!_xlnm.Print_Area,9)-VLOOKUP(B32+$E$8,'CSO2001'!_xlnm.Print_Area,9))*$E$7,+(VLOOKUP(B32-3,'CSO2001'!_xlnm.Print_Area,11)-VLOOKUP(B32-3+$E$8,'CSO2001'!_xlnm.Print_Area,11))/(VLOOKUP(B32-3,'CSO2001'!_xlnm.Print_Area,9)-VLOOKUP(B32-3+$E$8,'CSO2001'!_xlnm.Print_Area,9))*$E$7)*(1+$E$10)</f>
        <v>2.4454235592795452</v>
      </c>
      <c r="D32" s="48">
        <f t="shared" si="10"/>
        <v>4.8908471185590905</v>
      </c>
      <c r="E32" s="48">
        <f t="shared" si="11"/>
        <v>5.2332064168582271</v>
      </c>
      <c r="F32" s="48">
        <f t="shared" si="12"/>
        <v>5.1842979456726361</v>
      </c>
      <c r="G32" s="48">
        <f t="shared" si="13"/>
        <v>5.0864810033014543</v>
      </c>
      <c r="H32" s="48">
        <f t="shared" si="14"/>
        <v>4.8908471185590905</v>
      </c>
      <c r="I32" s="48">
        <f t="shared" si="15"/>
        <v>0.43610053473818561</v>
      </c>
      <c r="J32" s="48">
        <f t="shared" si="16"/>
        <v>1.296074486418159</v>
      </c>
      <c r="K32" s="48">
        <f t="shared" si="17"/>
        <v>2.5432405016507271</v>
      </c>
      <c r="L32" s="48">
        <f t="shared" si="18"/>
        <v>4.8908471185590905</v>
      </c>
    </row>
    <row r="33" spans="1:18" x14ac:dyDescent="0.2">
      <c r="B33" s="26">
        <f t="shared" si="9"/>
        <v>29</v>
      </c>
      <c r="C33" s="47">
        <f>IF($E$9="H",+(VLOOKUP(B33,'CSO2001'!_xlnm.Print_Area,11)-VLOOKUP(B33+$E$8,'CSO2001'!_xlnm.Print_Area,11))/(VLOOKUP(B33,'CSO2001'!_xlnm.Print_Area,9)-VLOOKUP(B33+$E$8,'CSO2001'!_xlnm.Print_Area,9))*$E$7,+(VLOOKUP(B33-3,'CSO2001'!_xlnm.Print_Area,11)-VLOOKUP(B33-3+$E$8,'CSO2001'!_xlnm.Print_Area,11))/(VLOOKUP(B33-3,'CSO2001'!_xlnm.Print_Area,9)-VLOOKUP(B33-3+$E$8,'CSO2001'!_xlnm.Print_Area,9))*$E$7)*(1+$E$10)</f>
        <v>2.5866611120318987</v>
      </c>
      <c r="D33" s="48">
        <f t="shared" si="10"/>
        <v>5.1733222240637975</v>
      </c>
      <c r="E33" s="48">
        <f t="shared" si="11"/>
        <v>5.5354547797482638</v>
      </c>
      <c r="F33" s="48">
        <f t="shared" si="12"/>
        <v>5.4837215575076259</v>
      </c>
      <c r="G33" s="48">
        <f t="shared" si="13"/>
        <v>5.3802551130263492</v>
      </c>
      <c r="H33" s="48">
        <f t="shared" si="14"/>
        <v>5.1733222240637975</v>
      </c>
      <c r="I33" s="48">
        <f t="shared" si="15"/>
        <v>0.46128789831235534</v>
      </c>
      <c r="J33" s="48">
        <f t="shared" si="16"/>
        <v>1.3709303893769065</v>
      </c>
      <c r="K33" s="48">
        <f t="shared" si="17"/>
        <v>2.6901275565131746</v>
      </c>
      <c r="L33" s="48">
        <f t="shared" si="18"/>
        <v>5.1733222240637975</v>
      </c>
    </row>
    <row r="34" spans="1:18" x14ac:dyDescent="0.2">
      <c r="A34" s="25"/>
      <c r="B34" s="26">
        <f t="shared" si="9"/>
        <v>30</v>
      </c>
      <c r="C34" s="47">
        <f>IF($E$9="H",+(VLOOKUP(B34,'CSO2001'!_xlnm.Print_Area,11)-VLOOKUP(B34+$E$8,'CSO2001'!_xlnm.Print_Area,11))/(VLOOKUP(B34,'CSO2001'!_xlnm.Print_Area,9)-VLOOKUP(B34+$E$8,'CSO2001'!_xlnm.Print_Area,9))*$E$7,+(VLOOKUP(B34-3,'CSO2001'!_xlnm.Print_Area,11)-VLOOKUP(B34-3+$E$8,'CSO2001'!_xlnm.Print_Area,11))/(VLOOKUP(B34-3,'CSO2001'!_xlnm.Print_Area,9)-VLOOKUP(B34-3+$E$8,'CSO2001'!_xlnm.Print_Area,9))*$E$7)*(1+$E$10)</f>
        <v>2.7450237337530923</v>
      </c>
      <c r="D34" s="48">
        <f t="shared" si="10"/>
        <v>5.4900474675061846</v>
      </c>
      <c r="E34" s="48">
        <f>+$D34*(1+$E$12)</f>
        <v>5.8743507902316177</v>
      </c>
      <c r="F34" s="48">
        <f>+$D34*(1+$F$12)</f>
        <v>5.8194503155565558</v>
      </c>
      <c r="G34" s="48">
        <f>+$D34*(1+$G$12)</f>
        <v>5.709649366206432</v>
      </c>
      <c r="H34" s="48">
        <f>+$D34*(1+$H$12)</f>
        <v>5.4900474675061846</v>
      </c>
      <c r="I34" s="48">
        <f>+E34/12</f>
        <v>0.48952923251930147</v>
      </c>
      <c r="J34" s="48">
        <f>+F34/4</f>
        <v>1.4548625788891389</v>
      </c>
      <c r="K34" s="48">
        <f>+G34/2</f>
        <v>2.854824683103216</v>
      </c>
      <c r="L34" s="48">
        <f>+H34</f>
        <v>5.4900474675061846</v>
      </c>
      <c r="M34" s="35"/>
      <c r="N34" s="35" t="e">
        <f>+#REF!/#REF!</f>
        <v>#REF!</v>
      </c>
      <c r="O34" s="35"/>
      <c r="P34" s="35"/>
      <c r="Q34" s="35"/>
      <c r="R34" s="35"/>
    </row>
    <row r="35" spans="1:18" x14ac:dyDescent="0.2">
      <c r="B35" s="26">
        <f t="shared" si="9"/>
        <v>31</v>
      </c>
      <c r="C35" s="47">
        <f>IF($E$9="H",+(VLOOKUP(B35,'CSO2001'!_xlnm.Print_Area,11)-VLOOKUP(B35+$E$8,'CSO2001'!_xlnm.Print_Area,11))/(VLOOKUP(B35,'CSO2001'!_xlnm.Print_Area,9)-VLOOKUP(B35+$E$8,'CSO2001'!_xlnm.Print_Area,9))*$E$7,+(VLOOKUP(B35-3,'CSO2001'!_xlnm.Print_Area,11)-VLOOKUP(B35-3+$E$8,'CSO2001'!_xlnm.Print_Area,11))/(VLOOKUP(B35-3,'CSO2001'!_xlnm.Print_Area,9)-VLOOKUP(B35-3+$E$8,'CSO2001'!_xlnm.Print_Area,9))*$E$7)*(1+$E$10)</f>
        <v>2.9227756023992648</v>
      </c>
      <c r="D35" s="48">
        <f t="shared" si="10"/>
        <v>5.8455512047985296</v>
      </c>
      <c r="E35" s="48">
        <f t="shared" si="11"/>
        <v>6.254739789134427</v>
      </c>
      <c r="F35" s="48">
        <f t="shared" si="12"/>
        <v>6.1962842770864421</v>
      </c>
      <c r="G35" s="48">
        <f t="shared" si="13"/>
        <v>6.0793732529904707</v>
      </c>
      <c r="H35" s="48">
        <f t="shared" si="14"/>
        <v>5.8455512047985296</v>
      </c>
      <c r="I35" s="48">
        <f t="shared" si="15"/>
        <v>0.52122831576120221</v>
      </c>
      <c r="J35" s="48">
        <f t="shared" si="16"/>
        <v>1.5490710692716105</v>
      </c>
      <c r="K35" s="48">
        <f t="shared" si="17"/>
        <v>3.0396866264952354</v>
      </c>
      <c r="L35" s="48">
        <f t="shared" si="18"/>
        <v>5.8455512047985296</v>
      </c>
      <c r="M35" s="35"/>
      <c r="N35" s="35" t="e">
        <f>+N34/2</f>
        <v>#REF!</v>
      </c>
      <c r="O35" s="35"/>
      <c r="P35" s="35"/>
      <c r="Q35" s="35"/>
      <c r="R35" s="35"/>
    </row>
    <row r="36" spans="1:18" x14ac:dyDescent="0.2">
      <c r="B36" s="26">
        <f t="shared" si="9"/>
        <v>32</v>
      </c>
      <c r="C36" s="47">
        <f>IF($E$9="H",+(VLOOKUP(B36,'CSO2001'!_xlnm.Print_Area,11)-VLOOKUP(B36+$E$8,'CSO2001'!_xlnm.Print_Area,11))/(VLOOKUP(B36,'CSO2001'!_xlnm.Print_Area,9)-VLOOKUP(B36+$E$8,'CSO2001'!_xlnm.Print_Area,9))*$E$7,+(VLOOKUP(B36-3,'CSO2001'!_xlnm.Print_Area,11)-VLOOKUP(B36-3+$E$8,'CSO2001'!_xlnm.Print_Area,11))/(VLOOKUP(B36-3,'CSO2001'!_xlnm.Print_Area,9)-VLOOKUP(B36-3+$E$8,'CSO2001'!_xlnm.Print_Area,9))*$E$7)*(1+$E$10)</f>
        <v>3.1238580627023711</v>
      </c>
      <c r="D36" s="48">
        <f t="shared" si="10"/>
        <v>6.2477161254047422</v>
      </c>
      <c r="E36" s="48">
        <f t="shared" si="11"/>
        <v>6.6850562541830749</v>
      </c>
      <c r="F36" s="48">
        <f t="shared" si="12"/>
        <v>6.6225790929290271</v>
      </c>
      <c r="G36" s="48">
        <f t="shared" si="13"/>
        <v>6.4976247704209324</v>
      </c>
      <c r="H36" s="48">
        <f t="shared" si="14"/>
        <v>6.2477161254047422</v>
      </c>
      <c r="I36" s="48">
        <f t="shared" si="15"/>
        <v>0.55708802118192291</v>
      </c>
      <c r="J36" s="48">
        <f t="shared" si="16"/>
        <v>1.6556447732322568</v>
      </c>
      <c r="K36" s="48">
        <f t="shared" si="17"/>
        <v>3.2488123852104662</v>
      </c>
      <c r="L36" s="48">
        <f t="shared" si="18"/>
        <v>6.2477161254047422</v>
      </c>
      <c r="M36" s="35"/>
      <c r="N36" s="35"/>
      <c r="O36" s="35"/>
      <c r="P36" s="35"/>
      <c r="Q36" s="35"/>
      <c r="R36" s="35"/>
    </row>
    <row r="37" spans="1:18" x14ac:dyDescent="0.2">
      <c r="B37" s="26">
        <f t="shared" si="9"/>
        <v>33</v>
      </c>
      <c r="C37" s="47">
        <f>IF($E$9="H",+(VLOOKUP(B37,'CSO2001'!_xlnm.Print_Area,11)-VLOOKUP(B37+$E$8,'CSO2001'!_xlnm.Print_Area,11))/(VLOOKUP(B37,'CSO2001'!_xlnm.Print_Area,9)-VLOOKUP(B37+$E$8,'CSO2001'!_xlnm.Print_Area,9))*$E$7,+(VLOOKUP(B37-3,'CSO2001'!_xlnm.Print_Area,11)-VLOOKUP(B37-3+$E$8,'CSO2001'!_xlnm.Print_Area,11))/(VLOOKUP(B37-3,'CSO2001'!_xlnm.Print_Area,9)-VLOOKUP(B37-3+$E$8,'CSO2001'!_xlnm.Print_Area,9))*$E$7)*(1+$E$10)</f>
        <v>3.3540120798611586</v>
      </c>
      <c r="D37" s="48">
        <f t="shared" si="10"/>
        <v>6.7080241597223171</v>
      </c>
      <c r="E37" s="48">
        <f t="shared" si="11"/>
        <v>7.1775858509028794</v>
      </c>
      <c r="F37" s="48">
        <f t="shared" si="12"/>
        <v>7.1105056093056564</v>
      </c>
      <c r="G37" s="48">
        <f t="shared" si="13"/>
        <v>6.9763451261112097</v>
      </c>
      <c r="H37" s="48">
        <f t="shared" si="14"/>
        <v>6.7080241597223171</v>
      </c>
      <c r="I37" s="48">
        <f t="shared" si="15"/>
        <v>0.59813215424190658</v>
      </c>
      <c r="J37" s="48">
        <f t="shared" si="16"/>
        <v>1.7776264023264141</v>
      </c>
      <c r="K37" s="48">
        <f t="shared" si="17"/>
        <v>3.4881725630556049</v>
      </c>
      <c r="L37" s="48">
        <f t="shared" si="18"/>
        <v>6.7080241597223171</v>
      </c>
      <c r="M37" s="35"/>
      <c r="N37" s="35"/>
      <c r="O37" s="35"/>
      <c r="P37" s="35"/>
      <c r="Q37" s="35"/>
      <c r="R37" s="35"/>
    </row>
    <row r="38" spans="1:18" x14ac:dyDescent="0.2">
      <c r="B38" s="26">
        <f t="shared" si="9"/>
        <v>34</v>
      </c>
      <c r="C38" s="47">
        <f>IF($E$9="H",+(VLOOKUP(B38,'CSO2001'!_xlnm.Print_Area,11)-VLOOKUP(B38+$E$8,'CSO2001'!_xlnm.Print_Area,11))/(VLOOKUP(B38,'CSO2001'!_xlnm.Print_Area,9)-VLOOKUP(B38+$E$8,'CSO2001'!_xlnm.Print_Area,9))*$E$7,+(VLOOKUP(B38-3,'CSO2001'!_xlnm.Print_Area,11)-VLOOKUP(B38-3+$E$8,'CSO2001'!_xlnm.Print_Area,11))/(VLOOKUP(B38-3,'CSO2001'!_xlnm.Print_Area,9)-VLOOKUP(B38-3+$E$8,'CSO2001'!_xlnm.Print_Area,9))*$E$7)*(1+$E$10)</f>
        <v>3.6147227872560559</v>
      </c>
      <c r="D38" s="48">
        <f t="shared" si="10"/>
        <v>7.2294455745121118</v>
      </c>
      <c r="E38" s="48">
        <f t="shared" si="11"/>
        <v>7.7355067647279601</v>
      </c>
      <c r="F38" s="48">
        <f t="shared" si="12"/>
        <v>7.663212308982839</v>
      </c>
      <c r="G38" s="48">
        <f t="shared" si="13"/>
        <v>7.5186233974925969</v>
      </c>
      <c r="H38" s="48">
        <f t="shared" si="14"/>
        <v>7.2294455745121118</v>
      </c>
      <c r="I38" s="48">
        <f t="shared" si="15"/>
        <v>0.64462556372733004</v>
      </c>
      <c r="J38" s="48">
        <f t="shared" si="16"/>
        <v>1.9158030772457098</v>
      </c>
      <c r="K38" s="48">
        <f t="shared" si="17"/>
        <v>3.7593116987462984</v>
      </c>
      <c r="L38" s="48">
        <f t="shared" si="18"/>
        <v>7.2294455745121118</v>
      </c>
      <c r="M38" s="35"/>
      <c r="N38" s="35"/>
      <c r="O38" s="35"/>
      <c r="P38" s="35"/>
      <c r="Q38" s="35"/>
      <c r="R38" s="35"/>
    </row>
    <row r="39" spans="1:18" x14ac:dyDescent="0.2">
      <c r="B39" s="26">
        <f t="shared" si="9"/>
        <v>35</v>
      </c>
      <c r="C39" s="47">
        <f>IF($E$9="H",+(VLOOKUP(B39,'CSO2001'!_xlnm.Print_Area,11)-VLOOKUP(B39+$E$8,'CSO2001'!_xlnm.Print_Area,11))/(VLOOKUP(B39,'CSO2001'!_xlnm.Print_Area,9)-VLOOKUP(B39+$E$8,'CSO2001'!_xlnm.Print_Area,9))*$E$7,+(VLOOKUP(B39-3,'CSO2001'!_xlnm.Print_Area,11)-VLOOKUP(B39-3+$E$8,'CSO2001'!_xlnm.Print_Area,11))/(VLOOKUP(B39-3,'CSO2001'!_xlnm.Print_Area,9)-VLOOKUP(B39-3+$E$8,'CSO2001'!_xlnm.Print_Area,9))*$E$7)*(1+$E$10)</f>
        <v>3.9118499329280283</v>
      </c>
      <c r="D39" s="48">
        <f t="shared" si="10"/>
        <v>7.8236998658560566</v>
      </c>
      <c r="E39" s="48">
        <f>+$D39*(1+$E$12)</f>
        <v>8.3713588564659815</v>
      </c>
      <c r="F39" s="48">
        <f>+$D39*(1+$F$12)</f>
        <v>8.2931218578074208</v>
      </c>
      <c r="G39" s="48">
        <f>+$D39*(1+$G$12)</f>
        <v>8.1366478604902994</v>
      </c>
      <c r="H39" s="48">
        <f>+$D39*(1+$H$12)</f>
        <v>7.8236998658560566</v>
      </c>
      <c r="I39" s="48">
        <f>+E39/12</f>
        <v>0.6976132380388318</v>
      </c>
      <c r="J39" s="48">
        <f>+F39/4</f>
        <v>2.0732804644518552</v>
      </c>
      <c r="K39" s="48">
        <f>+G39/2</f>
        <v>4.0683239302451497</v>
      </c>
      <c r="L39" s="48">
        <f>+H39</f>
        <v>7.8236998658560566</v>
      </c>
      <c r="M39" s="35"/>
      <c r="N39" s="35"/>
      <c r="O39" s="35"/>
      <c r="P39" s="35"/>
      <c r="Q39" s="35"/>
      <c r="R39" s="35"/>
    </row>
    <row r="40" spans="1:18" x14ac:dyDescent="0.2">
      <c r="B40" s="26">
        <f t="shared" si="9"/>
        <v>36</v>
      </c>
      <c r="C40" s="47">
        <f>IF($E$9="H",+(VLOOKUP(B40,'CSO2001'!_xlnm.Print_Area,11)-VLOOKUP(B40+$E$8,'CSO2001'!_xlnm.Print_Area,11))/(VLOOKUP(B40,'CSO2001'!_xlnm.Print_Area,9)-VLOOKUP(B40+$E$8,'CSO2001'!_xlnm.Print_Area,9))*$E$7,+(VLOOKUP(B40-3,'CSO2001'!_xlnm.Print_Area,11)-VLOOKUP(B40-3+$E$8,'CSO2001'!_xlnm.Print_Area,11))/(VLOOKUP(B40-3,'CSO2001'!_xlnm.Print_Area,9)-VLOOKUP(B40-3+$E$8,'CSO2001'!_xlnm.Print_Area,9))*$E$7)*(1+$E$10)</f>
        <v>4.2518844098592918</v>
      </c>
      <c r="D40" s="48">
        <f t="shared" si="10"/>
        <v>8.5037688197185837</v>
      </c>
      <c r="E40" s="48">
        <f t="shared" si="11"/>
        <v>9.099032637098885</v>
      </c>
      <c r="F40" s="48">
        <f t="shared" si="12"/>
        <v>9.0139949489016988</v>
      </c>
      <c r="G40" s="48">
        <f t="shared" si="13"/>
        <v>8.8439195725073265</v>
      </c>
      <c r="H40" s="48">
        <f t="shared" si="14"/>
        <v>8.5037688197185837</v>
      </c>
      <c r="I40" s="48">
        <f t="shared" si="15"/>
        <v>0.75825271975824038</v>
      </c>
      <c r="J40" s="48">
        <f t="shared" si="16"/>
        <v>2.2534987372254247</v>
      </c>
      <c r="K40" s="48">
        <f t="shared" si="17"/>
        <v>4.4219597862536633</v>
      </c>
      <c r="L40" s="48">
        <f t="shared" si="18"/>
        <v>8.5037688197185837</v>
      </c>
      <c r="M40" s="35"/>
      <c r="N40" s="35"/>
      <c r="O40" s="35"/>
      <c r="P40" s="35"/>
      <c r="Q40" s="35"/>
      <c r="R40" s="35"/>
    </row>
    <row r="41" spans="1:18" x14ac:dyDescent="0.2">
      <c r="B41" s="26">
        <f t="shared" si="9"/>
        <v>37</v>
      </c>
      <c r="C41" s="47">
        <f>IF($E$9="H",+(VLOOKUP(B41,'CSO2001'!_xlnm.Print_Area,11)-VLOOKUP(B41+$E$8,'CSO2001'!_xlnm.Print_Area,11))/(VLOOKUP(B41,'CSO2001'!_xlnm.Print_Area,9)-VLOOKUP(B41+$E$8,'CSO2001'!_xlnm.Print_Area,9))*$E$7,+(VLOOKUP(B41-3,'CSO2001'!_xlnm.Print_Area,11)-VLOOKUP(B41-3+$E$8,'CSO2001'!_xlnm.Print_Area,11))/(VLOOKUP(B41-3,'CSO2001'!_xlnm.Print_Area,9)-VLOOKUP(B41-3+$E$8,'CSO2001'!_xlnm.Print_Area,9))*$E$7)*(1+$E$10)</f>
        <v>4.6338756221054815</v>
      </c>
      <c r="D41" s="48">
        <f t="shared" si="10"/>
        <v>9.2677512442109631</v>
      </c>
      <c r="E41" s="48">
        <f t="shared" si="11"/>
        <v>9.9164938313057309</v>
      </c>
      <c r="F41" s="48">
        <f t="shared" si="12"/>
        <v>9.8238163188636207</v>
      </c>
      <c r="G41" s="48">
        <f t="shared" si="13"/>
        <v>9.6384612939794021</v>
      </c>
      <c r="H41" s="48">
        <f t="shared" si="14"/>
        <v>9.2677512442109631</v>
      </c>
      <c r="I41" s="48">
        <f t="shared" si="15"/>
        <v>0.82637448594214424</v>
      </c>
      <c r="J41" s="48">
        <f t="shared" si="16"/>
        <v>2.4559540797159052</v>
      </c>
      <c r="K41" s="48">
        <f t="shared" si="17"/>
        <v>4.8192306469897011</v>
      </c>
      <c r="L41" s="48">
        <f t="shared" si="18"/>
        <v>9.2677512442109631</v>
      </c>
      <c r="M41" s="35"/>
      <c r="N41" s="35"/>
      <c r="O41" s="35"/>
      <c r="P41" s="35"/>
      <c r="Q41" s="35"/>
      <c r="R41" s="35"/>
    </row>
    <row r="42" spans="1:18" x14ac:dyDescent="0.2">
      <c r="B42" s="26">
        <f t="shared" si="9"/>
        <v>38</v>
      </c>
      <c r="C42" s="47">
        <f>IF($E$9="H",+(VLOOKUP(B42,'CSO2001'!_xlnm.Print_Area,11)-VLOOKUP(B42+$E$8,'CSO2001'!_xlnm.Print_Area,11))/(VLOOKUP(B42,'CSO2001'!_xlnm.Print_Area,9)-VLOOKUP(B42+$E$8,'CSO2001'!_xlnm.Print_Area,9))*$E$7,+(VLOOKUP(B42-3,'CSO2001'!_xlnm.Print_Area,11)-VLOOKUP(B42-3+$E$8,'CSO2001'!_xlnm.Print_Area,11))/(VLOOKUP(B42-3,'CSO2001'!_xlnm.Print_Area,9)-VLOOKUP(B42-3+$E$8,'CSO2001'!_xlnm.Print_Area,9))*$E$7)*(1+$E$10)</f>
        <v>5.0627200215430852</v>
      </c>
      <c r="D42" s="48">
        <f t="shared" si="10"/>
        <v>10.12544004308617</v>
      </c>
      <c r="E42" s="48">
        <f t="shared" si="11"/>
        <v>10.834220846102204</v>
      </c>
      <c r="F42" s="48">
        <f t="shared" si="12"/>
        <v>10.732966445671341</v>
      </c>
      <c r="G42" s="48">
        <f t="shared" si="13"/>
        <v>10.530457644809617</v>
      </c>
      <c r="H42" s="48">
        <f t="shared" si="14"/>
        <v>10.12544004308617</v>
      </c>
      <c r="I42" s="48">
        <f t="shared" si="15"/>
        <v>0.90285173717518363</v>
      </c>
      <c r="J42" s="48">
        <f t="shared" si="16"/>
        <v>2.6832416114178352</v>
      </c>
      <c r="K42" s="48">
        <f t="shared" si="17"/>
        <v>5.2652288224048087</v>
      </c>
      <c r="L42" s="48">
        <f t="shared" si="18"/>
        <v>10.12544004308617</v>
      </c>
      <c r="M42" s="35"/>
      <c r="N42" s="35"/>
      <c r="O42" s="35"/>
      <c r="P42" s="35"/>
      <c r="Q42" s="35"/>
      <c r="R42" s="35"/>
    </row>
    <row r="43" spans="1:18" x14ac:dyDescent="0.2">
      <c r="B43" s="26">
        <f t="shared" si="9"/>
        <v>39</v>
      </c>
      <c r="C43" s="47">
        <f>IF($E$9="H",+(VLOOKUP(B43,'CSO2001'!_xlnm.Print_Area,11)-VLOOKUP(B43+$E$8,'CSO2001'!_xlnm.Print_Area,11))/(VLOOKUP(B43,'CSO2001'!_xlnm.Print_Area,9)-VLOOKUP(B43+$E$8,'CSO2001'!_xlnm.Print_Area,9))*$E$7,+(VLOOKUP(B43-3,'CSO2001'!_xlnm.Print_Area,11)-VLOOKUP(B43-3+$E$8,'CSO2001'!_xlnm.Print_Area,11))/(VLOOKUP(B43-3,'CSO2001'!_xlnm.Print_Area,9)-VLOOKUP(B43-3+$E$8,'CSO2001'!_xlnm.Print_Area,9))*$E$7)*(1+$E$10)</f>
        <v>5.5283996402949693</v>
      </c>
      <c r="D43" s="48">
        <f t="shared" si="10"/>
        <v>11.056799280589939</v>
      </c>
      <c r="E43" s="48">
        <f t="shared" si="11"/>
        <v>11.830775230231236</v>
      </c>
      <c r="F43" s="48">
        <f t="shared" si="12"/>
        <v>11.720207237425335</v>
      </c>
      <c r="G43" s="48">
        <f t="shared" si="13"/>
        <v>11.499071251813536</v>
      </c>
      <c r="H43" s="48">
        <f t="shared" si="14"/>
        <v>11.056799280589939</v>
      </c>
      <c r="I43" s="48">
        <f t="shared" si="15"/>
        <v>0.98589793585260299</v>
      </c>
      <c r="J43" s="48">
        <f t="shared" si="16"/>
        <v>2.9300518093563337</v>
      </c>
      <c r="K43" s="48">
        <f t="shared" si="17"/>
        <v>5.749535625906768</v>
      </c>
      <c r="L43" s="48">
        <f t="shared" si="18"/>
        <v>11.056799280589939</v>
      </c>
      <c r="M43" s="35"/>
      <c r="N43" s="35"/>
      <c r="O43" s="35"/>
      <c r="P43" s="35"/>
      <c r="Q43" s="35"/>
      <c r="R43" s="35"/>
    </row>
    <row r="44" spans="1:18" x14ac:dyDescent="0.2">
      <c r="B44" s="77">
        <f t="shared" si="9"/>
        <v>40</v>
      </c>
      <c r="C44" s="78">
        <f>IF($E$9="H",+(VLOOKUP(B44,'CSO2001'!_xlnm.Print_Area,11)-VLOOKUP(B44+$E$8,'CSO2001'!_xlnm.Print_Area,11))/(VLOOKUP(B44,'CSO2001'!_xlnm.Print_Area,9)-VLOOKUP(B44+$E$8,'CSO2001'!_xlnm.Print_Area,9))*$E$7,+(VLOOKUP(B44-3,'CSO2001'!_xlnm.Print_Area,11)-VLOOKUP(B44-3+$E$8,'CSO2001'!_xlnm.Print_Area,11))/(VLOOKUP(B44-3,'CSO2001'!_xlnm.Print_Area,9)-VLOOKUP(B44-3+$E$8,'CSO2001'!_xlnm.Print_Area,9))*$E$7)*(1+$E$10)</f>
        <v>6.0367999247987605</v>
      </c>
      <c r="D44" s="48">
        <f t="shared" si="10"/>
        <v>12.073599849597521</v>
      </c>
      <c r="E44" s="48">
        <f>+$D44*(1+$E$12)</f>
        <v>12.918751839069348</v>
      </c>
      <c r="F44" s="48">
        <f>+$D44*(1+$F$12)</f>
        <v>12.798015840573372</v>
      </c>
      <c r="G44" s="48">
        <f>+$D44*(1+$G$12)</f>
        <v>12.556543843581423</v>
      </c>
      <c r="H44" s="48">
        <f>+$D44*(1+$H$12)</f>
        <v>12.073599849597521</v>
      </c>
      <c r="I44" s="48">
        <f>+E44/12</f>
        <v>1.076562653255779</v>
      </c>
      <c r="J44" s="48">
        <f>+F44/4</f>
        <v>3.199503960143343</v>
      </c>
      <c r="K44" s="48">
        <f>+G44/2</f>
        <v>6.2782719217907115</v>
      </c>
      <c r="L44" s="48">
        <f>+H44</f>
        <v>12.073599849597521</v>
      </c>
      <c r="M44" s="35"/>
      <c r="N44" s="35"/>
      <c r="O44" s="35"/>
      <c r="P44" s="35"/>
      <c r="Q44" s="35"/>
      <c r="R44" s="35"/>
    </row>
    <row r="45" spans="1:18" x14ac:dyDescent="0.2">
      <c r="B45" s="26">
        <f t="shared" si="9"/>
        <v>41</v>
      </c>
      <c r="C45" s="47">
        <f>IF($E$9="H",+(VLOOKUP(B45,'CSO2001'!_xlnm.Print_Area,11)-VLOOKUP(B45+$E$8,'CSO2001'!_xlnm.Print_Area,11))/(VLOOKUP(B45,'CSO2001'!_xlnm.Print_Area,9)-VLOOKUP(B45+$E$8,'CSO2001'!_xlnm.Print_Area,9))*$E$7,+(VLOOKUP(B45-3,'CSO2001'!_xlnm.Print_Area,11)-VLOOKUP(B45-3+$E$8,'CSO2001'!_xlnm.Print_Area,11))/(VLOOKUP(B45-3,'CSO2001'!_xlnm.Print_Area,9)-VLOOKUP(B45-3+$E$8,'CSO2001'!_xlnm.Print_Area,9))*$E$7)*(1+$E$10)</f>
        <v>6.5960073170804954</v>
      </c>
      <c r="D45" s="48">
        <f t="shared" si="10"/>
        <v>13.192014634160991</v>
      </c>
      <c r="E45" s="48">
        <f t="shared" si="11"/>
        <v>14.115455658552261</v>
      </c>
      <c r="F45" s="48">
        <f t="shared" si="12"/>
        <v>13.983535512210651</v>
      </c>
      <c r="G45" s="48">
        <f t="shared" si="13"/>
        <v>13.719695219527431</v>
      </c>
      <c r="H45" s="48">
        <f t="shared" si="14"/>
        <v>13.192014634160991</v>
      </c>
      <c r="I45" s="48">
        <f t="shared" si="15"/>
        <v>1.1762879715460217</v>
      </c>
      <c r="J45" s="48">
        <f t="shared" si="16"/>
        <v>3.4958838780526627</v>
      </c>
      <c r="K45" s="48">
        <f t="shared" si="17"/>
        <v>6.8598476097637153</v>
      </c>
      <c r="L45" s="48">
        <f t="shared" si="18"/>
        <v>13.192014634160991</v>
      </c>
      <c r="M45" s="35"/>
      <c r="N45" s="35"/>
      <c r="O45" s="35"/>
      <c r="P45" s="35"/>
      <c r="Q45" s="35"/>
      <c r="R45" s="35"/>
    </row>
    <row r="46" spans="1:18" x14ac:dyDescent="0.2">
      <c r="B46" s="26">
        <f t="shared" si="9"/>
        <v>42</v>
      </c>
      <c r="C46" s="47">
        <f>IF($E$9="H",+(VLOOKUP(B46,'CSO2001'!_xlnm.Print_Area,11)-VLOOKUP(B46+$E$8,'CSO2001'!_xlnm.Print_Area,11))/(VLOOKUP(B46,'CSO2001'!_xlnm.Print_Area,9)-VLOOKUP(B46+$E$8,'CSO2001'!_xlnm.Print_Area,9))*$E$7,+(VLOOKUP(B46-3,'CSO2001'!_xlnm.Print_Area,11)-VLOOKUP(B46-3+$E$8,'CSO2001'!_xlnm.Print_Area,11))/(VLOOKUP(B46-3,'CSO2001'!_xlnm.Print_Area,9)-VLOOKUP(B46-3+$E$8,'CSO2001'!_xlnm.Print_Area,9))*$E$7)*(1+$E$10)</f>
        <v>7.2151334842145891</v>
      </c>
      <c r="D46" s="48">
        <f t="shared" si="10"/>
        <v>14.430266968429178</v>
      </c>
      <c r="E46" s="48">
        <f t="shared" si="11"/>
        <v>15.440385656219222</v>
      </c>
      <c r="F46" s="48">
        <f t="shared" si="12"/>
        <v>15.29608298653493</v>
      </c>
      <c r="G46" s="48">
        <f t="shared" si="13"/>
        <v>15.007477647166345</v>
      </c>
      <c r="H46" s="48">
        <f t="shared" si="14"/>
        <v>14.430266968429178</v>
      </c>
      <c r="I46" s="48">
        <f t="shared" si="15"/>
        <v>1.2866988046849352</v>
      </c>
      <c r="J46" s="48">
        <f t="shared" si="16"/>
        <v>3.8240207466337326</v>
      </c>
      <c r="K46" s="48">
        <f t="shared" si="17"/>
        <v>7.5037388235831726</v>
      </c>
      <c r="L46" s="48">
        <f t="shared" si="18"/>
        <v>14.430266968429178</v>
      </c>
      <c r="M46" s="35"/>
      <c r="N46" s="35"/>
      <c r="O46" s="35"/>
      <c r="P46" s="35"/>
      <c r="Q46" s="35"/>
      <c r="R46" s="35"/>
    </row>
    <row r="47" spans="1:18" x14ac:dyDescent="0.2">
      <c r="B47" s="26">
        <f t="shared" si="9"/>
        <v>43</v>
      </c>
      <c r="C47" s="47">
        <f>IF($E$9="H",+(VLOOKUP(B47,'CSO2001'!_xlnm.Print_Area,11)-VLOOKUP(B47+$E$8,'CSO2001'!_xlnm.Print_Area,11))/(VLOOKUP(B47,'CSO2001'!_xlnm.Print_Area,9)-VLOOKUP(B47+$E$8,'CSO2001'!_xlnm.Print_Area,9))*$E$7,+(VLOOKUP(B47-3,'CSO2001'!_xlnm.Print_Area,11)-VLOOKUP(B47-3+$E$8,'CSO2001'!_xlnm.Print_Area,11))/(VLOOKUP(B47-3,'CSO2001'!_xlnm.Print_Area,9)-VLOOKUP(B47-3+$E$8,'CSO2001'!_xlnm.Print_Area,9))*$E$7)*(1+$E$10)</f>
        <v>7.9042656811082654</v>
      </c>
      <c r="D47" s="48">
        <f t="shared" si="10"/>
        <v>15.808531362216531</v>
      </c>
      <c r="E47" s="48">
        <f t="shared" si="11"/>
        <v>16.915128557571688</v>
      </c>
      <c r="F47" s="48">
        <f t="shared" si="12"/>
        <v>16.757043243949525</v>
      </c>
      <c r="G47" s="48">
        <f t="shared" si="13"/>
        <v>16.440872616705192</v>
      </c>
      <c r="H47" s="48">
        <f t="shared" si="14"/>
        <v>15.808531362216531</v>
      </c>
      <c r="I47" s="48">
        <f t="shared" si="15"/>
        <v>1.4095940464643073</v>
      </c>
      <c r="J47" s="48">
        <f t="shared" si="16"/>
        <v>4.1892608109873812</v>
      </c>
      <c r="K47" s="48">
        <f t="shared" si="17"/>
        <v>8.2204363083525962</v>
      </c>
      <c r="L47" s="48">
        <f t="shared" si="18"/>
        <v>15.808531362216531</v>
      </c>
      <c r="M47" s="35"/>
      <c r="N47" s="35"/>
      <c r="O47" s="35"/>
      <c r="P47" s="35"/>
      <c r="Q47" s="35"/>
      <c r="R47" s="35"/>
    </row>
    <row r="48" spans="1:18" x14ac:dyDescent="0.2">
      <c r="B48" s="26">
        <f t="shared" si="9"/>
        <v>44</v>
      </c>
      <c r="C48" s="47">
        <f>IF($E$9="H",+(VLOOKUP(B48,'CSO2001'!_xlnm.Print_Area,11)-VLOOKUP(B48+$E$8,'CSO2001'!_xlnm.Print_Area,11))/(VLOOKUP(B48,'CSO2001'!_xlnm.Print_Area,9)-VLOOKUP(B48+$E$8,'CSO2001'!_xlnm.Print_Area,9))*$E$7,+(VLOOKUP(B48-3,'CSO2001'!_xlnm.Print_Area,11)-VLOOKUP(B48-3+$E$8,'CSO2001'!_xlnm.Print_Area,11))/(VLOOKUP(B48-3,'CSO2001'!_xlnm.Print_Area,9)-VLOOKUP(B48-3+$E$8,'CSO2001'!_xlnm.Print_Area,9))*$E$7)*(1+$E$10)</f>
        <v>8.6703848918025592</v>
      </c>
      <c r="D48" s="48">
        <f t="shared" si="10"/>
        <v>17.340769783605118</v>
      </c>
      <c r="E48" s="48">
        <f t="shared" si="11"/>
        <v>18.554623668457477</v>
      </c>
      <c r="F48" s="48">
        <f t="shared" si="12"/>
        <v>18.381215970621426</v>
      </c>
      <c r="G48" s="48">
        <f t="shared" si="13"/>
        <v>18.034400574949323</v>
      </c>
      <c r="H48" s="48">
        <f t="shared" si="14"/>
        <v>17.340769783605118</v>
      </c>
      <c r="I48" s="48">
        <f t="shared" si="15"/>
        <v>1.5462186390381232</v>
      </c>
      <c r="J48" s="48">
        <f t="shared" si="16"/>
        <v>4.5953039926553565</v>
      </c>
      <c r="K48" s="48">
        <f t="shared" si="17"/>
        <v>9.0172002874746617</v>
      </c>
      <c r="L48" s="48">
        <f t="shared" si="18"/>
        <v>17.340769783605118</v>
      </c>
      <c r="M48" s="35"/>
      <c r="N48" s="35"/>
      <c r="O48" s="35"/>
      <c r="P48" s="35"/>
      <c r="Q48" s="35"/>
      <c r="R48" s="35"/>
    </row>
    <row r="49" spans="2:18" x14ac:dyDescent="0.2">
      <c r="B49" s="26">
        <f t="shared" si="9"/>
        <v>45</v>
      </c>
      <c r="C49" s="47">
        <f>IF($E$9="H",+(VLOOKUP(B49,'CSO2001'!_xlnm.Print_Area,11)-VLOOKUP(B49+$E$8,'CSO2001'!_xlnm.Print_Area,11))/(VLOOKUP(B49,'CSO2001'!_xlnm.Print_Area,9)-VLOOKUP(B49+$E$8,'CSO2001'!_xlnm.Print_Area,9))*$E$7,+(VLOOKUP(B49-3,'CSO2001'!_xlnm.Print_Area,11)-VLOOKUP(B49-3+$E$8,'CSO2001'!_xlnm.Print_Area,11))/(VLOOKUP(B49-3,'CSO2001'!_xlnm.Print_Area,9)-VLOOKUP(B49-3+$E$8,'CSO2001'!_xlnm.Print_Area,9))*$E$7)*(1+$E$10)</f>
        <v>9.5130180940591913</v>
      </c>
      <c r="D49" s="48">
        <f t="shared" si="10"/>
        <v>19.026036188118383</v>
      </c>
      <c r="E49" s="48">
        <f>+$D49*(1+$E$12)</f>
        <v>20.357858721286672</v>
      </c>
      <c r="F49" s="48">
        <f>+$D49*(1+$F$12)</f>
        <v>20.167598359405485</v>
      </c>
      <c r="G49" s="48">
        <f>+$D49*(1+$G$12)</f>
        <v>19.787077635643119</v>
      </c>
      <c r="H49" s="48">
        <f>+$D49*(1+$H$12)</f>
        <v>19.026036188118383</v>
      </c>
      <c r="I49" s="48">
        <f>+E49/12</f>
        <v>1.6964882267738892</v>
      </c>
      <c r="J49" s="48">
        <f>+F49/4</f>
        <v>5.0418995898513712</v>
      </c>
      <c r="K49" s="48">
        <f>+G49/2</f>
        <v>9.8935388178215593</v>
      </c>
      <c r="L49" s="48">
        <f>+H49</f>
        <v>19.026036188118383</v>
      </c>
      <c r="M49" s="35"/>
      <c r="N49" s="35"/>
      <c r="O49" s="35"/>
      <c r="P49" s="35"/>
      <c r="Q49" s="35"/>
      <c r="R49" s="35"/>
    </row>
    <row r="50" spans="2:18" x14ac:dyDescent="0.2">
      <c r="B50" s="26">
        <f t="shared" si="9"/>
        <v>46</v>
      </c>
      <c r="C50" s="47">
        <f>IF($E$9="H",+(VLOOKUP(B50,'CSO2001'!_xlnm.Print_Area,11)-VLOOKUP(B50+$E$8,'CSO2001'!_xlnm.Print_Area,11))/(VLOOKUP(B50,'CSO2001'!_xlnm.Print_Area,9)-VLOOKUP(B50+$E$8,'CSO2001'!_xlnm.Print_Area,9))*$E$7,+(VLOOKUP(B50-3,'CSO2001'!_xlnm.Print_Area,11)-VLOOKUP(B50-3+$E$8,'CSO2001'!_xlnm.Print_Area,11))/(VLOOKUP(B50-3,'CSO2001'!_xlnm.Print_Area,9)-VLOOKUP(B50-3+$E$8,'CSO2001'!_xlnm.Print_Area,9))*$E$7)*(1+$E$10)</f>
        <v>10.435321717041877</v>
      </c>
      <c r="D50" s="48">
        <f t="shared" si="10"/>
        <v>20.870643434083753</v>
      </c>
      <c r="E50" s="48">
        <f t="shared" si="11"/>
        <v>22.331588474469616</v>
      </c>
      <c r="F50" s="48">
        <f t="shared" si="12"/>
        <v>22.122882040128779</v>
      </c>
      <c r="G50" s="48">
        <f t="shared" si="13"/>
        <v>21.705469171447103</v>
      </c>
      <c r="H50" s="48">
        <f t="shared" si="14"/>
        <v>20.870643434083753</v>
      </c>
      <c r="I50" s="48">
        <f t="shared" si="15"/>
        <v>1.8609657062058014</v>
      </c>
      <c r="J50" s="48">
        <f t="shared" si="16"/>
        <v>5.5307205100321948</v>
      </c>
      <c r="K50" s="48">
        <f t="shared" si="17"/>
        <v>10.852734585723551</v>
      </c>
      <c r="L50" s="48">
        <f t="shared" si="18"/>
        <v>20.870643434083753</v>
      </c>
      <c r="M50" s="35"/>
      <c r="N50" s="35"/>
      <c r="O50" s="35"/>
      <c r="P50" s="35"/>
      <c r="Q50" s="35"/>
      <c r="R50" s="35"/>
    </row>
    <row r="51" spans="2:18" x14ac:dyDescent="0.2">
      <c r="B51" s="26">
        <f t="shared" si="9"/>
        <v>47</v>
      </c>
      <c r="C51" s="47">
        <f>IF($E$9="H",+(VLOOKUP(B51,'CSO2001'!_xlnm.Print_Area,11)-VLOOKUP(B51+$E$8,'CSO2001'!_xlnm.Print_Area,11))/(VLOOKUP(B51,'CSO2001'!_xlnm.Print_Area,9)-VLOOKUP(B51+$E$8,'CSO2001'!_xlnm.Print_Area,9))*$E$7,+(VLOOKUP(B51-3,'CSO2001'!_xlnm.Print_Area,11)-VLOOKUP(B51-3+$E$8,'CSO2001'!_xlnm.Print_Area,11))/(VLOOKUP(B51-3,'CSO2001'!_xlnm.Print_Area,9)-VLOOKUP(B51-3+$E$8,'CSO2001'!_xlnm.Print_Area,9))*$E$7)*(1+$E$10)</f>
        <v>11.440391466391921</v>
      </c>
      <c r="D51" s="48">
        <f t="shared" si="10"/>
        <v>22.880782932783841</v>
      </c>
      <c r="E51" s="48">
        <f t="shared" si="11"/>
        <v>24.482437738078712</v>
      </c>
      <c r="F51" s="48">
        <f t="shared" si="12"/>
        <v>24.253629908750874</v>
      </c>
      <c r="G51" s="48">
        <f t="shared" si="13"/>
        <v>23.796014250095197</v>
      </c>
      <c r="H51" s="48">
        <f t="shared" si="14"/>
        <v>22.880782932783841</v>
      </c>
      <c r="I51" s="48">
        <f t="shared" si="15"/>
        <v>2.0402031448398925</v>
      </c>
      <c r="J51" s="48">
        <f t="shared" si="16"/>
        <v>6.0634074771877184</v>
      </c>
      <c r="K51" s="48">
        <f t="shared" si="17"/>
        <v>11.898007125047599</v>
      </c>
      <c r="L51" s="48">
        <f t="shared" si="18"/>
        <v>22.880782932783841</v>
      </c>
      <c r="M51" s="35"/>
      <c r="N51" s="35"/>
      <c r="O51" s="35"/>
      <c r="P51" s="35"/>
      <c r="Q51" s="35"/>
      <c r="R51" s="35"/>
    </row>
    <row r="52" spans="2:18" x14ac:dyDescent="0.2">
      <c r="B52" s="26">
        <f t="shared" si="9"/>
        <v>48</v>
      </c>
      <c r="C52" s="47">
        <f>IF($E$9="H",+(VLOOKUP(B52,'CSO2001'!_xlnm.Print_Area,11)-VLOOKUP(B52+$E$8,'CSO2001'!_xlnm.Print_Area,11))/(VLOOKUP(B52,'CSO2001'!_xlnm.Print_Area,9)-VLOOKUP(B52+$E$8,'CSO2001'!_xlnm.Print_Area,9))*$E$7,+(VLOOKUP(B52-3,'CSO2001'!_xlnm.Print_Area,11)-VLOOKUP(B52-3+$E$8,'CSO2001'!_xlnm.Print_Area,11))/(VLOOKUP(B52-3,'CSO2001'!_xlnm.Print_Area,9)-VLOOKUP(B52-3+$E$8,'CSO2001'!_xlnm.Print_Area,9))*$E$7)*(1+$E$10)</f>
        <v>12.527791119313092</v>
      </c>
      <c r="D52" s="48">
        <f t="shared" si="10"/>
        <v>25.055582238626183</v>
      </c>
      <c r="E52" s="48">
        <f t="shared" si="11"/>
        <v>26.809472995330019</v>
      </c>
      <c r="F52" s="48">
        <f t="shared" si="12"/>
        <v>26.558917172943755</v>
      </c>
      <c r="G52" s="48">
        <f t="shared" si="13"/>
        <v>26.05780552817123</v>
      </c>
      <c r="H52" s="48">
        <f t="shared" si="14"/>
        <v>25.055582238626183</v>
      </c>
      <c r="I52" s="48">
        <f t="shared" si="15"/>
        <v>2.2341227496108349</v>
      </c>
      <c r="J52" s="48">
        <f t="shared" si="16"/>
        <v>6.6397292932359386</v>
      </c>
      <c r="K52" s="48">
        <f t="shared" si="17"/>
        <v>13.028902764085615</v>
      </c>
      <c r="L52" s="48">
        <f t="shared" si="18"/>
        <v>25.055582238626183</v>
      </c>
      <c r="M52" s="35"/>
      <c r="N52" s="35"/>
      <c r="O52" s="35"/>
      <c r="P52" s="35"/>
      <c r="Q52" s="35"/>
      <c r="R52" s="35"/>
    </row>
    <row r="53" spans="2:18" x14ac:dyDescent="0.2">
      <c r="B53" s="26">
        <f t="shared" si="9"/>
        <v>49</v>
      </c>
      <c r="C53" s="47">
        <f>IF($E$9="H",+(VLOOKUP(B53,'CSO2001'!_xlnm.Print_Area,11)-VLOOKUP(B53+$E$8,'CSO2001'!_xlnm.Print_Area,11))/(VLOOKUP(B53,'CSO2001'!_xlnm.Print_Area,9)-VLOOKUP(B53+$E$8,'CSO2001'!_xlnm.Print_Area,9))*$E$7,+(VLOOKUP(B53-3,'CSO2001'!_xlnm.Print_Area,11)-VLOOKUP(B53-3+$E$8,'CSO2001'!_xlnm.Print_Area,11))/(VLOOKUP(B53-3,'CSO2001'!_xlnm.Print_Area,9)-VLOOKUP(B53-3+$E$8,'CSO2001'!_xlnm.Print_Area,9))*$E$7)*(1+$E$10)</f>
        <v>13.718809855094479</v>
      </c>
      <c r="D53" s="48">
        <f t="shared" si="10"/>
        <v>27.437619710188958</v>
      </c>
      <c r="E53" s="48">
        <f t="shared" si="11"/>
        <v>29.358253089902188</v>
      </c>
      <c r="F53" s="48">
        <f t="shared" si="12"/>
        <v>29.083876892800298</v>
      </c>
      <c r="G53" s="48">
        <f t="shared" si="13"/>
        <v>28.535124498596517</v>
      </c>
      <c r="H53" s="48">
        <f t="shared" si="14"/>
        <v>27.437619710188958</v>
      </c>
      <c r="I53" s="48">
        <f t="shared" si="15"/>
        <v>2.4465210908251822</v>
      </c>
      <c r="J53" s="48">
        <f t="shared" si="16"/>
        <v>7.2709692232000744</v>
      </c>
      <c r="K53" s="48">
        <f t="shared" si="17"/>
        <v>14.267562249298258</v>
      </c>
      <c r="L53" s="48">
        <f t="shared" si="18"/>
        <v>27.437619710188958</v>
      </c>
      <c r="M53" s="35"/>
      <c r="N53" s="35"/>
      <c r="O53" s="35"/>
      <c r="P53" s="35"/>
      <c r="Q53" s="35"/>
      <c r="R53" s="35"/>
    </row>
    <row r="54" spans="2:18" x14ac:dyDescent="0.2">
      <c r="B54" s="26">
        <f t="shared" si="9"/>
        <v>50</v>
      </c>
      <c r="C54" s="47">
        <f>IF($E$9="H",+(VLOOKUP(B54,'CSO2001'!_xlnm.Print_Area,11)-VLOOKUP(B54+$E$8,'CSO2001'!_xlnm.Print_Area,11))/(VLOOKUP(B54,'CSO2001'!_xlnm.Print_Area,9)-VLOOKUP(B54+$E$8,'CSO2001'!_xlnm.Print_Area,9))*$E$7,+(VLOOKUP(B54-3,'CSO2001'!_xlnm.Print_Area,11)-VLOOKUP(B54-3+$E$8,'CSO2001'!_xlnm.Print_Area,11))/(VLOOKUP(B54-3,'CSO2001'!_xlnm.Print_Area,9)-VLOOKUP(B54-3+$E$8,'CSO2001'!_xlnm.Print_Area,9))*$E$7)*(1+$E$10)</f>
        <v>15.014757640560509</v>
      </c>
      <c r="D54" s="48">
        <f t="shared" si="10"/>
        <v>30.029515281121018</v>
      </c>
      <c r="E54" s="48">
        <f>+$D54*(1+$E$12)</f>
        <v>32.131581350799493</v>
      </c>
      <c r="F54" s="48">
        <f>+$D54*(1+$F$12)</f>
        <v>31.83128619798828</v>
      </c>
      <c r="G54" s="48">
        <f>+$D54*(1+$G$12)</f>
        <v>31.230695892365858</v>
      </c>
      <c r="H54" s="48">
        <f>+$D54*(1+$H$12)</f>
        <v>30.029515281121018</v>
      </c>
      <c r="I54" s="48">
        <f>+E54/12</f>
        <v>2.6776317792332911</v>
      </c>
      <c r="J54" s="48">
        <f>+F54/4</f>
        <v>7.9578215494970701</v>
      </c>
      <c r="K54" s="48">
        <f>+G54/2</f>
        <v>15.615347946182929</v>
      </c>
      <c r="L54" s="48">
        <f>+H54</f>
        <v>30.029515281121018</v>
      </c>
      <c r="M54" s="35"/>
      <c r="N54" s="35"/>
      <c r="O54" s="35"/>
      <c r="P54" s="35"/>
      <c r="Q54" s="35"/>
      <c r="R54" s="35"/>
    </row>
    <row r="55" spans="2:18" x14ac:dyDescent="0.2">
      <c r="B55" s="26">
        <f t="shared" si="9"/>
        <v>51</v>
      </c>
      <c r="C55" s="47">
        <f>IF($E$9="H",+(VLOOKUP(B55,'CSO2001'!_xlnm.Print_Area,11)-VLOOKUP(B55+$E$8,'CSO2001'!_xlnm.Print_Area,11))/(VLOOKUP(B55,'CSO2001'!_xlnm.Print_Area,9)-VLOOKUP(B55+$E$8,'CSO2001'!_xlnm.Print_Area,9))*$E$7,+(VLOOKUP(B55-3,'CSO2001'!_xlnm.Print_Area,11)-VLOOKUP(B55-3+$E$8,'CSO2001'!_xlnm.Print_Area,11))/(VLOOKUP(B55-3,'CSO2001'!_xlnm.Print_Area,9)-VLOOKUP(B55-3+$E$8,'CSO2001'!_xlnm.Print_Area,9))*$E$7)*(1+$E$10)</f>
        <v>16.429045023984461</v>
      </c>
      <c r="D55" s="48">
        <f t="shared" si="10"/>
        <v>32.858090047968922</v>
      </c>
      <c r="E55" s="48">
        <f t="shared" si="11"/>
        <v>35.158156351326745</v>
      </c>
      <c r="F55" s="48">
        <f t="shared" si="12"/>
        <v>34.829575450847059</v>
      </c>
      <c r="G55" s="48">
        <f t="shared" si="13"/>
        <v>34.17241364988768</v>
      </c>
      <c r="H55" s="48">
        <f t="shared" si="14"/>
        <v>32.858090047968922</v>
      </c>
      <c r="I55" s="48">
        <f t="shared" si="15"/>
        <v>2.929846362610562</v>
      </c>
      <c r="J55" s="48">
        <f t="shared" si="16"/>
        <v>8.7073938627117649</v>
      </c>
      <c r="K55" s="48">
        <f t="shared" si="17"/>
        <v>17.08620682494384</v>
      </c>
      <c r="L55" s="48">
        <f t="shared" si="18"/>
        <v>32.858090047968922</v>
      </c>
      <c r="M55" s="35"/>
      <c r="N55" s="35"/>
      <c r="O55" s="35"/>
      <c r="P55" s="35"/>
      <c r="Q55" s="35"/>
      <c r="R55" s="35"/>
    </row>
    <row r="56" spans="2:18" x14ac:dyDescent="0.2">
      <c r="B56" s="26">
        <f t="shared" si="9"/>
        <v>52</v>
      </c>
      <c r="C56" s="47">
        <f>IF($E$9="H",+(VLOOKUP(B56,'CSO2001'!_xlnm.Print_Area,11)-VLOOKUP(B56+$E$8,'CSO2001'!_xlnm.Print_Area,11))/(VLOOKUP(B56,'CSO2001'!_xlnm.Print_Area,9)-VLOOKUP(B56+$E$8,'CSO2001'!_xlnm.Print_Area,9))*$E$7,+(VLOOKUP(B56-3,'CSO2001'!_xlnm.Print_Area,11)-VLOOKUP(B56-3+$E$8,'CSO2001'!_xlnm.Print_Area,11))/(VLOOKUP(B56-3,'CSO2001'!_xlnm.Print_Area,9)-VLOOKUP(B56-3+$E$8,'CSO2001'!_xlnm.Print_Area,9))*$E$7)*(1+$E$10)</f>
        <v>17.969620283007309</v>
      </c>
      <c r="D56" s="48">
        <f t="shared" si="10"/>
        <v>35.939240566014618</v>
      </c>
      <c r="E56" s="48">
        <f t="shared" si="11"/>
        <v>38.454987405635642</v>
      </c>
      <c r="F56" s="48">
        <f t="shared" si="12"/>
        <v>38.095594999975496</v>
      </c>
      <c r="G56" s="48">
        <f t="shared" si="13"/>
        <v>37.376810188655206</v>
      </c>
      <c r="H56" s="48">
        <f t="shared" si="14"/>
        <v>35.939240566014618</v>
      </c>
      <c r="I56" s="48">
        <f t="shared" si="15"/>
        <v>3.2045822838029703</v>
      </c>
      <c r="J56" s="48">
        <f t="shared" si="16"/>
        <v>9.5238987499938741</v>
      </c>
      <c r="K56" s="48">
        <f t="shared" si="17"/>
        <v>18.688405094327603</v>
      </c>
      <c r="L56" s="48">
        <f t="shared" si="18"/>
        <v>35.939240566014618</v>
      </c>
      <c r="M56" s="35"/>
      <c r="N56" s="35"/>
      <c r="O56" s="35"/>
      <c r="P56" s="35"/>
      <c r="Q56" s="35"/>
      <c r="R56" s="35"/>
    </row>
    <row r="57" spans="2:18" x14ac:dyDescent="0.2">
      <c r="B57" s="26">
        <f t="shared" si="9"/>
        <v>53</v>
      </c>
      <c r="C57" s="47">
        <f>IF($E$9="H",+(VLOOKUP(B57,'CSO2001'!_xlnm.Print_Area,11)-VLOOKUP(B57+$E$8,'CSO2001'!_xlnm.Print_Area,11))/(VLOOKUP(B57,'CSO2001'!_xlnm.Print_Area,9)-VLOOKUP(B57+$E$8,'CSO2001'!_xlnm.Print_Area,9))*$E$7,+(VLOOKUP(B57-3,'CSO2001'!_xlnm.Print_Area,11)-VLOOKUP(B57-3+$E$8,'CSO2001'!_xlnm.Print_Area,11))/(VLOOKUP(B57-3,'CSO2001'!_xlnm.Print_Area,9)-VLOOKUP(B57-3+$E$8,'CSO2001'!_xlnm.Print_Area,9))*$E$7)*(1+$E$10)</f>
        <v>19.661296969977318</v>
      </c>
      <c r="D57" s="48">
        <f t="shared" si="10"/>
        <v>39.322593939954636</v>
      </c>
      <c r="E57" s="48">
        <f t="shared" si="11"/>
        <v>42.075175515751461</v>
      </c>
      <c r="F57" s="48">
        <f t="shared" si="12"/>
        <v>41.681949576351919</v>
      </c>
      <c r="G57" s="48">
        <f t="shared" si="13"/>
        <v>40.89549769755282</v>
      </c>
      <c r="H57" s="48">
        <f t="shared" si="14"/>
        <v>39.322593939954636</v>
      </c>
      <c r="I57" s="48">
        <f t="shared" si="15"/>
        <v>3.5062646263126216</v>
      </c>
      <c r="J57" s="48">
        <f t="shared" si="16"/>
        <v>10.42048739408798</v>
      </c>
      <c r="K57" s="48">
        <f t="shared" si="17"/>
        <v>20.44774884877641</v>
      </c>
      <c r="L57" s="48">
        <f t="shared" si="18"/>
        <v>39.322593939954636</v>
      </c>
      <c r="M57" s="35"/>
      <c r="N57" s="35"/>
      <c r="O57" s="35"/>
      <c r="P57" s="35"/>
      <c r="Q57" s="35"/>
      <c r="R57" s="35"/>
    </row>
    <row r="58" spans="2:18" x14ac:dyDescent="0.2">
      <c r="B58" s="26">
        <f t="shared" si="9"/>
        <v>54</v>
      </c>
      <c r="C58" s="47">
        <f>IF($E$9="H",+(VLOOKUP(B58,'CSO2001'!_xlnm.Print_Area,11)-VLOOKUP(B58+$E$8,'CSO2001'!_xlnm.Print_Area,11))/(VLOOKUP(B58,'CSO2001'!_xlnm.Print_Area,9)-VLOOKUP(B58+$E$8,'CSO2001'!_xlnm.Print_Area,9))*$E$7,+(VLOOKUP(B58-3,'CSO2001'!_xlnm.Print_Area,11)-VLOOKUP(B58-3+$E$8,'CSO2001'!_xlnm.Print_Area,11))/(VLOOKUP(B58-3,'CSO2001'!_xlnm.Print_Area,9)-VLOOKUP(B58-3+$E$8,'CSO2001'!_xlnm.Print_Area,9))*$E$7)*(1+$E$10)</f>
        <v>21.506314208101266</v>
      </c>
      <c r="D58" s="48">
        <f t="shared" si="10"/>
        <v>43.012628416202531</v>
      </c>
      <c r="E58" s="48">
        <f t="shared" si="11"/>
        <v>46.02351240533671</v>
      </c>
      <c r="F58" s="48">
        <f t="shared" si="12"/>
        <v>45.593386121174689</v>
      </c>
      <c r="G58" s="48">
        <f t="shared" si="13"/>
        <v>44.733133552850632</v>
      </c>
      <c r="H58" s="48">
        <f t="shared" si="14"/>
        <v>43.012628416202531</v>
      </c>
      <c r="I58" s="48">
        <f t="shared" si="15"/>
        <v>3.8352927004447257</v>
      </c>
      <c r="J58" s="48">
        <f t="shared" si="16"/>
        <v>11.398346530293672</v>
      </c>
      <c r="K58" s="48">
        <f t="shared" si="17"/>
        <v>22.366566776425316</v>
      </c>
      <c r="L58" s="48">
        <f t="shared" si="18"/>
        <v>43.012628416202531</v>
      </c>
      <c r="M58" s="35"/>
      <c r="N58" s="35"/>
      <c r="O58" s="35"/>
      <c r="P58" s="35"/>
      <c r="Q58" s="35"/>
      <c r="R58" s="35"/>
    </row>
    <row r="59" spans="2:18" x14ac:dyDescent="0.2">
      <c r="B59" s="26">
        <f t="shared" si="9"/>
        <v>55</v>
      </c>
      <c r="C59" s="47">
        <f>IF($E$9="H",+(VLOOKUP(B59,'CSO2001'!_xlnm.Print_Area,11)-VLOOKUP(B59+$E$8,'CSO2001'!_xlnm.Print_Area,11))/(VLOOKUP(B59,'CSO2001'!_xlnm.Print_Area,9)-VLOOKUP(B59+$E$8,'CSO2001'!_xlnm.Print_Area,9))*$E$7,+(VLOOKUP(B59-3,'CSO2001'!_xlnm.Print_Area,11)-VLOOKUP(B59-3+$E$8,'CSO2001'!_xlnm.Print_Area,11))/(VLOOKUP(B59-3,'CSO2001'!_xlnm.Print_Area,9)-VLOOKUP(B59-3+$E$8,'CSO2001'!_xlnm.Print_Area,9))*$E$7)*(1+$E$10)</f>
        <v>23.50084021737041</v>
      </c>
      <c r="D59" s="48">
        <f t="shared" si="10"/>
        <v>47.00168043474082</v>
      </c>
      <c r="E59" s="48">
        <f>+$D59*(1+$E$12)</f>
        <v>50.291798065172678</v>
      </c>
      <c r="F59" s="48">
        <f>+$D59*(1+$F$12)</f>
        <v>49.821781260825269</v>
      </c>
      <c r="G59" s="48">
        <f>+$D59*(1+$G$12)</f>
        <v>48.881747652130457</v>
      </c>
      <c r="H59" s="48">
        <f>+$D59*(1+$H$12)</f>
        <v>47.00168043474082</v>
      </c>
      <c r="I59" s="48">
        <f>+E59/12</f>
        <v>4.1909831720977229</v>
      </c>
      <c r="J59" s="48">
        <f>+F59/4</f>
        <v>12.455445315206317</v>
      </c>
      <c r="K59" s="48">
        <f>+G59/2</f>
        <v>24.440873826065229</v>
      </c>
      <c r="L59" s="48">
        <f>+H59</f>
        <v>47.00168043474082</v>
      </c>
      <c r="M59" s="35"/>
      <c r="N59" s="35"/>
      <c r="O59" s="35"/>
      <c r="P59" s="35"/>
      <c r="Q59" s="35"/>
      <c r="R59" s="35"/>
    </row>
    <row r="60" spans="2:18" x14ac:dyDescent="0.2">
      <c r="B60" s="26">
        <f t="shared" si="9"/>
        <v>56</v>
      </c>
      <c r="C60" s="47">
        <f>IF($E$9="H",+(VLOOKUP(B60,'CSO2001'!_xlnm.Print_Area,11)-VLOOKUP(B60+$E$8,'CSO2001'!_xlnm.Print_Area,11))/(VLOOKUP(B60,'CSO2001'!_xlnm.Print_Area,9)-VLOOKUP(B60+$E$8,'CSO2001'!_xlnm.Print_Area,9))*$E$7,+(VLOOKUP(B60-3,'CSO2001'!_xlnm.Print_Area,11)-VLOOKUP(B60-3+$E$8,'CSO2001'!_xlnm.Print_Area,11))/(VLOOKUP(B60-3,'CSO2001'!_xlnm.Print_Area,9)-VLOOKUP(B60-3+$E$8,'CSO2001'!_xlnm.Print_Area,9))*$E$7)*(1+$E$10)</f>
        <v>25.649692767989727</v>
      </c>
      <c r="D60" s="48">
        <f t="shared" si="10"/>
        <v>51.299385535979454</v>
      </c>
      <c r="E60" s="48">
        <f t="shared" si="11"/>
        <v>54.89034252349802</v>
      </c>
      <c r="F60" s="48">
        <f t="shared" si="12"/>
        <v>54.377348668138225</v>
      </c>
      <c r="G60" s="48">
        <f t="shared" si="13"/>
        <v>53.351360957418635</v>
      </c>
      <c r="H60" s="48">
        <f t="shared" si="14"/>
        <v>51.299385535979454</v>
      </c>
      <c r="I60" s="48">
        <f t="shared" si="15"/>
        <v>4.574195210291502</v>
      </c>
      <c r="J60" s="48">
        <f t="shared" si="16"/>
        <v>13.594337167034556</v>
      </c>
      <c r="K60" s="48">
        <f t="shared" si="17"/>
        <v>26.675680478709317</v>
      </c>
      <c r="L60" s="48">
        <f t="shared" si="18"/>
        <v>51.299385535979454</v>
      </c>
      <c r="M60" s="35"/>
      <c r="N60" s="35"/>
      <c r="O60" s="35"/>
      <c r="P60" s="35"/>
      <c r="Q60" s="35"/>
      <c r="R60" s="35"/>
    </row>
    <row r="61" spans="2:18" x14ac:dyDescent="0.2">
      <c r="B61" s="26">
        <f t="shared" si="9"/>
        <v>57</v>
      </c>
      <c r="C61" s="47">
        <f>IF($E$9="H",+(VLOOKUP(B61,'CSO2001'!_xlnm.Print_Area,11)-VLOOKUP(B61+$E$8,'CSO2001'!_xlnm.Print_Area,11))/(VLOOKUP(B61,'CSO2001'!_xlnm.Print_Area,9)-VLOOKUP(B61+$E$8,'CSO2001'!_xlnm.Print_Area,9))*$E$7,+(VLOOKUP(B61-3,'CSO2001'!_xlnm.Print_Area,11)-VLOOKUP(B61-3+$E$8,'CSO2001'!_xlnm.Print_Area,11))/(VLOOKUP(B61-3,'CSO2001'!_xlnm.Print_Area,9)-VLOOKUP(B61-3+$E$8,'CSO2001'!_xlnm.Print_Area,9))*$E$7)*(1+$E$10)</f>
        <v>27.962758900375583</v>
      </c>
      <c r="D61" s="48">
        <f t="shared" si="10"/>
        <v>55.925517800751166</v>
      </c>
      <c r="E61" s="48">
        <f t="shared" si="11"/>
        <v>59.840304046803752</v>
      </c>
      <c r="F61" s="48">
        <f t="shared" si="12"/>
        <v>59.28104886879624</v>
      </c>
      <c r="G61" s="48">
        <f t="shared" si="13"/>
        <v>58.162538512781218</v>
      </c>
      <c r="H61" s="48">
        <f t="shared" si="14"/>
        <v>55.925517800751166</v>
      </c>
      <c r="I61" s="48">
        <f t="shared" si="15"/>
        <v>4.9866920039003126</v>
      </c>
      <c r="J61" s="48">
        <f t="shared" si="16"/>
        <v>14.82026221719906</v>
      </c>
      <c r="K61" s="48">
        <f t="shared" si="17"/>
        <v>29.081269256390609</v>
      </c>
      <c r="L61" s="48">
        <f t="shared" si="18"/>
        <v>55.925517800751166</v>
      </c>
      <c r="M61" s="35"/>
      <c r="N61" s="35"/>
      <c r="O61" s="35"/>
      <c r="P61" s="35"/>
      <c r="Q61" s="35"/>
      <c r="R61" s="35"/>
    </row>
    <row r="62" spans="2:18" x14ac:dyDescent="0.2">
      <c r="B62" s="26">
        <f t="shared" si="9"/>
        <v>58</v>
      </c>
      <c r="C62" s="47">
        <f>IF($E$9="H",+(VLOOKUP(B62,'CSO2001'!_xlnm.Print_Area,11)-VLOOKUP(B62+$E$8,'CSO2001'!_xlnm.Print_Area,11))/(VLOOKUP(B62,'CSO2001'!_xlnm.Print_Area,9)-VLOOKUP(B62+$E$8,'CSO2001'!_xlnm.Print_Area,9))*$E$7,+(VLOOKUP(B62-3,'CSO2001'!_xlnm.Print_Area,11)-VLOOKUP(B62-3+$E$8,'CSO2001'!_xlnm.Print_Area,11))/(VLOOKUP(B62-3,'CSO2001'!_xlnm.Print_Area,9)-VLOOKUP(B62-3+$E$8,'CSO2001'!_xlnm.Print_Area,9))*$E$7)*(1+$E$10)</f>
        <v>30.459872823456113</v>
      </c>
      <c r="D62" s="48">
        <f t="shared" si="10"/>
        <v>60.919745646912226</v>
      </c>
      <c r="E62" s="48">
        <f t="shared" si="11"/>
        <v>65.184127842196091</v>
      </c>
      <c r="F62" s="48">
        <f t="shared" si="12"/>
        <v>64.574930385726958</v>
      </c>
      <c r="G62" s="48">
        <f t="shared" si="13"/>
        <v>63.356535472788714</v>
      </c>
      <c r="H62" s="48">
        <f t="shared" si="14"/>
        <v>60.919745646912226</v>
      </c>
      <c r="I62" s="48">
        <f t="shared" si="15"/>
        <v>5.4320106535163406</v>
      </c>
      <c r="J62" s="48">
        <f t="shared" si="16"/>
        <v>16.14373259643174</v>
      </c>
      <c r="K62" s="48">
        <f t="shared" si="17"/>
        <v>31.678267736394357</v>
      </c>
      <c r="L62" s="48">
        <f t="shared" si="18"/>
        <v>60.919745646912226</v>
      </c>
      <c r="M62" s="35"/>
      <c r="N62" s="35"/>
      <c r="O62" s="35"/>
      <c r="P62" s="35"/>
      <c r="Q62" s="35"/>
      <c r="R62" s="35"/>
    </row>
    <row r="63" spans="2:18" x14ac:dyDescent="0.2">
      <c r="B63" s="26">
        <f t="shared" si="9"/>
        <v>59</v>
      </c>
      <c r="C63" s="47">
        <f>IF($E$9="H",+(VLOOKUP(B63,'CSO2001'!_xlnm.Print_Area,11)-VLOOKUP(B63+$E$8,'CSO2001'!_xlnm.Print_Area,11))/(VLOOKUP(B63,'CSO2001'!_xlnm.Print_Area,9)-VLOOKUP(B63+$E$8,'CSO2001'!_xlnm.Print_Area,9))*$E$7,+(VLOOKUP(B63-3,'CSO2001'!_xlnm.Print_Area,11)-VLOOKUP(B63-3+$E$8,'CSO2001'!_xlnm.Print_Area,11))/(VLOOKUP(B63-3,'CSO2001'!_xlnm.Print_Area,9)-VLOOKUP(B63-3+$E$8,'CSO2001'!_xlnm.Print_Area,9))*$E$7)*(1+$E$10)</f>
        <v>33.186913440367022</v>
      </c>
      <c r="D63" s="48">
        <f t="shared" si="10"/>
        <v>66.373826880734043</v>
      </c>
      <c r="E63" s="48">
        <f t="shared" si="11"/>
        <v>71.019994762385437</v>
      </c>
      <c r="F63" s="48">
        <f t="shared" si="12"/>
        <v>70.356256493578087</v>
      </c>
      <c r="G63" s="48">
        <f t="shared" si="13"/>
        <v>69.028779955963401</v>
      </c>
      <c r="H63" s="48">
        <f t="shared" si="14"/>
        <v>66.373826880734043</v>
      </c>
      <c r="I63" s="48">
        <f t="shared" si="15"/>
        <v>5.9183328968654534</v>
      </c>
      <c r="J63" s="48">
        <f t="shared" si="16"/>
        <v>17.589064123394522</v>
      </c>
      <c r="K63" s="48">
        <f t="shared" si="17"/>
        <v>34.5143899779817</v>
      </c>
      <c r="L63" s="48">
        <f t="shared" si="18"/>
        <v>66.373826880734043</v>
      </c>
      <c r="M63" s="35"/>
      <c r="N63" s="35"/>
      <c r="O63" s="35"/>
      <c r="P63" s="35"/>
      <c r="Q63" s="35"/>
      <c r="R63" s="35"/>
    </row>
    <row r="64" spans="2:18" x14ac:dyDescent="0.2">
      <c r="B64" s="26">
        <f t="shared" si="9"/>
        <v>60</v>
      </c>
      <c r="C64" s="47">
        <f>IF($E$9="H",+(VLOOKUP(B64,'CSO2001'!_xlnm.Print_Area,11)-VLOOKUP(B64+$E$8,'CSO2001'!_xlnm.Print_Area,11))/(VLOOKUP(B64,'CSO2001'!_xlnm.Print_Area,9)-VLOOKUP(B64+$E$8,'CSO2001'!_xlnm.Print_Area,9))*$E$7,+(VLOOKUP(B64-3,'CSO2001'!_xlnm.Print_Area,11)-VLOOKUP(B64-3+$E$8,'CSO2001'!_xlnm.Print_Area,11))/(VLOOKUP(B64-3,'CSO2001'!_xlnm.Print_Area,9)-VLOOKUP(B64-3+$E$8,'CSO2001'!_xlnm.Print_Area,9))*$E$7)*(1+$E$10)</f>
        <v>36.162974741092938</v>
      </c>
      <c r="D64" s="48">
        <f t="shared" si="10"/>
        <v>72.325949482185877</v>
      </c>
      <c r="E64" s="48">
        <f>+$D64*(1+$E$12)</f>
        <v>77.388765945938886</v>
      </c>
      <c r="F64" s="48">
        <f>+$D64*(1+$F$12)</f>
        <v>76.665506451117039</v>
      </c>
      <c r="G64" s="48">
        <f>+$D64*(1+$G$12)</f>
        <v>75.218987461473318</v>
      </c>
      <c r="H64" s="48">
        <f>+$D64*(1+$H$12)</f>
        <v>72.325949482185877</v>
      </c>
      <c r="I64" s="48">
        <f>+E64/12</f>
        <v>6.4490638288282405</v>
      </c>
      <c r="J64" s="48">
        <f>+F64/4</f>
        <v>19.16637661277926</v>
      </c>
      <c r="K64" s="48">
        <f>+G64/2</f>
        <v>37.609493730736659</v>
      </c>
      <c r="L64" s="48">
        <f>+H64</f>
        <v>72.325949482185877</v>
      </c>
      <c r="M64" s="35"/>
      <c r="N64" s="35"/>
      <c r="O64" s="35"/>
      <c r="P64" s="35"/>
      <c r="Q64" s="35"/>
      <c r="R64" s="35"/>
    </row>
    <row r="65" spans="2:18" x14ac:dyDescent="0.2">
      <c r="B65" s="26">
        <f t="shared" si="9"/>
        <v>61</v>
      </c>
      <c r="C65" s="47">
        <f>IF($E$9="H",+(VLOOKUP(B65,'CSO2001'!_xlnm.Print_Area,11)-VLOOKUP(B65+$E$8,'CSO2001'!_xlnm.Print_Area,11))/(VLOOKUP(B65,'CSO2001'!_xlnm.Print_Area,9)-VLOOKUP(B65+$E$8,'CSO2001'!_xlnm.Print_Area,9))*$E$7,+(VLOOKUP(B65-3,'CSO2001'!_xlnm.Print_Area,11)-VLOOKUP(B65-3+$E$8,'CSO2001'!_xlnm.Print_Area,11))/(VLOOKUP(B65-3,'CSO2001'!_xlnm.Print_Area,9)-VLOOKUP(B65-3+$E$8,'CSO2001'!_xlnm.Print_Area,9))*$E$7)*(1+$E$10)</f>
        <v>39.387679420787926</v>
      </c>
      <c r="D65" s="48">
        <f t="shared" si="10"/>
        <v>78.775358841575851</v>
      </c>
      <c r="E65" s="48">
        <f t="shared" si="11"/>
        <v>84.289633960486171</v>
      </c>
      <c r="F65" s="48">
        <f t="shared" si="12"/>
        <v>83.501880372070403</v>
      </c>
      <c r="G65" s="48">
        <f t="shared" si="13"/>
        <v>81.926373195238895</v>
      </c>
      <c r="H65" s="48">
        <f t="shared" si="14"/>
        <v>78.775358841575851</v>
      </c>
      <c r="I65" s="48">
        <f t="shared" si="15"/>
        <v>7.0241361633738473</v>
      </c>
      <c r="J65" s="48">
        <f t="shared" si="16"/>
        <v>20.875470093017601</v>
      </c>
      <c r="K65" s="48">
        <f t="shared" si="17"/>
        <v>40.963186597619448</v>
      </c>
      <c r="L65" s="48">
        <f t="shared" si="18"/>
        <v>78.775358841575851</v>
      </c>
      <c r="M65" s="35"/>
      <c r="N65" s="35"/>
      <c r="O65" s="35"/>
      <c r="P65" s="35"/>
      <c r="Q65" s="35"/>
      <c r="R65" s="35"/>
    </row>
    <row r="66" spans="2:18" x14ac:dyDescent="0.2">
      <c r="B66" s="26">
        <f t="shared" si="9"/>
        <v>62</v>
      </c>
      <c r="C66" s="47">
        <f>IF($E$9="H",+(VLOOKUP(B66,'CSO2001'!_xlnm.Print_Area,11)-VLOOKUP(B66+$E$8,'CSO2001'!_xlnm.Print_Area,11))/(VLOOKUP(B66,'CSO2001'!_xlnm.Print_Area,9)-VLOOKUP(B66+$E$8,'CSO2001'!_xlnm.Print_Area,9))*$E$7,+(VLOOKUP(B66-3,'CSO2001'!_xlnm.Print_Area,11)-VLOOKUP(B66-3+$E$8,'CSO2001'!_xlnm.Print_Area,11))/(VLOOKUP(B66-3,'CSO2001'!_xlnm.Print_Area,9)-VLOOKUP(B66-3+$E$8,'CSO2001'!_xlnm.Print_Area,9))*$E$7)*(1+$E$10)</f>
        <v>42.860520392655445</v>
      </c>
      <c r="D66" s="48">
        <f t="shared" si="10"/>
        <v>85.72104078531089</v>
      </c>
      <c r="E66" s="48">
        <f t="shared" si="11"/>
        <v>91.721513640282652</v>
      </c>
      <c r="F66" s="48">
        <f t="shared" si="12"/>
        <v>90.864303232429549</v>
      </c>
      <c r="G66" s="48">
        <f t="shared" si="13"/>
        <v>89.149882416723329</v>
      </c>
      <c r="H66" s="48">
        <f t="shared" si="14"/>
        <v>85.72104078531089</v>
      </c>
      <c r="I66" s="48">
        <f t="shared" si="15"/>
        <v>7.6434594700235543</v>
      </c>
      <c r="J66" s="48">
        <f t="shared" si="16"/>
        <v>22.716075808107387</v>
      </c>
      <c r="K66" s="48">
        <f t="shared" si="17"/>
        <v>44.574941208361665</v>
      </c>
      <c r="L66" s="48">
        <f t="shared" si="18"/>
        <v>85.72104078531089</v>
      </c>
      <c r="M66" s="35"/>
      <c r="N66" s="35"/>
      <c r="O66" s="35"/>
      <c r="P66" s="35"/>
      <c r="Q66" s="35"/>
      <c r="R66" s="35"/>
    </row>
    <row r="67" spans="2:18" x14ac:dyDescent="0.2">
      <c r="B67" s="26">
        <f t="shared" si="9"/>
        <v>63</v>
      </c>
      <c r="C67" s="47">
        <f>IF($E$9="H",+(VLOOKUP(B67,'CSO2001'!_xlnm.Print_Area,11)-VLOOKUP(B67+$E$8,'CSO2001'!_xlnm.Print_Area,11))/(VLOOKUP(B67,'CSO2001'!_xlnm.Print_Area,9)-VLOOKUP(B67+$E$8,'CSO2001'!_xlnm.Print_Area,9))*$E$7,+(VLOOKUP(B67-3,'CSO2001'!_xlnm.Print_Area,11)-VLOOKUP(B67-3+$E$8,'CSO2001'!_xlnm.Print_Area,11))/(VLOOKUP(B67-3,'CSO2001'!_xlnm.Print_Area,9)-VLOOKUP(B67-3+$E$8,'CSO2001'!_xlnm.Print_Area,9))*$E$7)*(1+$E$10)</f>
        <v>46.555168906952545</v>
      </c>
      <c r="D67" s="48">
        <f t="shared" si="10"/>
        <v>93.11033781390509</v>
      </c>
      <c r="E67" s="48">
        <f t="shared" si="11"/>
        <v>99.628061460878456</v>
      </c>
      <c r="F67" s="48">
        <f t="shared" si="12"/>
        <v>98.6969580827394</v>
      </c>
      <c r="G67" s="48">
        <f t="shared" si="13"/>
        <v>96.834751326461301</v>
      </c>
      <c r="H67" s="48">
        <f t="shared" si="14"/>
        <v>93.11033781390509</v>
      </c>
      <c r="I67" s="48">
        <f t="shared" si="15"/>
        <v>8.3023384550732047</v>
      </c>
      <c r="J67" s="48">
        <f t="shared" si="16"/>
        <v>24.67423952068485</v>
      </c>
      <c r="K67" s="48">
        <f t="shared" si="17"/>
        <v>48.417375663230651</v>
      </c>
      <c r="L67" s="48">
        <f t="shared" si="18"/>
        <v>93.11033781390509</v>
      </c>
      <c r="M67" s="35"/>
      <c r="N67" s="35"/>
      <c r="O67" s="35"/>
      <c r="P67" s="35"/>
      <c r="Q67" s="35"/>
      <c r="R67" s="35"/>
    </row>
    <row r="68" spans="2:18" x14ac:dyDescent="0.2">
      <c r="B68" s="26">
        <f t="shared" si="9"/>
        <v>64</v>
      </c>
      <c r="C68" s="47">
        <f>IF($E$9="H",+(VLOOKUP(B68,'CSO2001'!_xlnm.Print_Area,11)-VLOOKUP(B68+$E$8,'CSO2001'!_xlnm.Print_Area,11))/(VLOOKUP(B68,'CSO2001'!_xlnm.Print_Area,9)-VLOOKUP(B68+$E$8,'CSO2001'!_xlnm.Print_Area,9))*$E$7,+(VLOOKUP(B68-3,'CSO2001'!_xlnm.Print_Area,11)-VLOOKUP(B68-3+$E$8,'CSO2001'!_xlnm.Print_Area,11))/(VLOOKUP(B68-3,'CSO2001'!_xlnm.Print_Area,9)-VLOOKUP(B68-3+$E$8,'CSO2001'!_xlnm.Print_Area,9))*$E$7)*(1+$E$10)</f>
        <v>50.462648964668013</v>
      </c>
      <c r="D68" s="48">
        <f t="shared" si="10"/>
        <v>100.92529792933603</v>
      </c>
      <c r="E68" s="48">
        <f t="shared" si="11"/>
        <v>107.99006878438955</v>
      </c>
      <c r="F68" s="48">
        <f t="shared" si="12"/>
        <v>106.9808158050962</v>
      </c>
      <c r="G68" s="48">
        <f t="shared" si="13"/>
        <v>104.96230984650947</v>
      </c>
      <c r="H68" s="48">
        <f t="shared" si="14"/>
        <v>100.92529792933603</v>
      </c>
      <c r="I68" s="48">
        <f t="shared" si="15"/>
        <v>8.9991723986991285</v>
      </c>
      <c r="J68" s="48">
        <f t="shared" si="16"/>
        <v>26.74520395127405</v>
      </c>
      <c r="K68" s="48">
        <f t="shared" si="17"/>
        <v>52.481154923254735</v>
      </c>
      <c r="L68" s="48">
        <f t="shared" si="18"/>
        <v>100.92529792933603</v>
      </c>
      <c r="M68" s="35"/>
      <c r="N68" s="35"/>
      <c r="O68" s="35"/>
      <c r="P68" s="35"/>
      <c r="Q68" s="35"/>
      <c r="R68" s="35"/>
    </row>
    <row r="69" spans="2:18" x14ac:dyDescent="0.2">
      <c r="B69" s="26">
        <f t="shared" si="9"/>
        <v>65</v>
      </c>
      <c r="C69" s="47">
        <f>IF($E$9="H",+(VLOOKUP(B69,'CSO2001'!_xlnm.Print_Area,11)-VLOOKUP(B69+$E$8,'CSO2001'!_xlnm.Print_Area,11))/(VLOOKUP(B69,'CSO2001'!_xlnm.Print_Area,9)-VLOOKUP(B69+$E$8,'CSO2001'!_xlnm.Print_Area,9))*$E$7,+(VLOOKUP(B69-3,'CSO2001'!_xlnm.Print_Area,11)-VLOOKUP(B69-3+$E$8,'CSO2001'!_xlnm.Print_Area,11))/(VLOOKUP(B69-3,'CSO2001'!_xlnm.Print_Area,9)-VLOOKUP(B69-3+$E$8,'CSO2001'!_xlnm.Print_Area,9))*$E$7)*(1+$E$10)</f>
        <v>54.591447723693335</v>
      </c>
      <c r="D69" s="48">
        <f t="shared" si="10"/>
        <v>109.18289544738667</v>
      </c>
      <c r="E69" s="48">
        <f t="shared" ref="E69:E74" si="19">+$D69*(1+$E$12)</f>
        <v>116.82569812870375</v>
      </c>
      <c r="F69" s="48">
        <f t="shared" ref="F69:F74" si="20">+$D69*(1+$F$12)</f>
        <v>115.73386917422988</v>
      </c>
      <c r="G69" s="48">
        <f t="shared" ref="G69:G74" si="21">+$D69*(1+$G$12)</f>
        <v>113.55021126528214</v>
      </c>
      <c r="H69" s="48">
        <f t="shared" ref="H69:H74" si="22">+$D69*(1+$H$12)</f>
        <v>109.18289544738667</v>
      </c>
      <c r="I69" s="48">
        <f t="shared" ref="I69:I74" si="23">+E69/12</f>
        <v>9.7354748440586452</v>
      </c>
      <c r="J69" s="48">
        <f t="shared" ref="J69:J74" si="24">+F69/4</f>
        <v>28.93346729355747</v>
      </c>
      <c r="K69" s="48">
        <f t="shared" ref="K69:K74" si="25">+G69/2</f>
        <v>56.775105632641072</v>
      </c>
      <c r="L69" s="48">
        <f t="shared" ref="L69:L74" si="26">+H69</f>
        <v>109.18289544738667</v>
      </c>
      <c r="M69" s="35"/>
      <c r="N69" s="35"/>
      <c r="O69" s="35"/>
      <c r="P69" s="35"/>
      <c r="Q69" s="35"/>
      <c r="R69" s="35"/>
    </row>
    <row r="70" spans="2:18" x14ac:dyDescent="0.2">
      <c r="B70" s="26">
        <f t="shared" si="9"/>
        <v>66</v>
      </c>
      <c r="C70" s="47">
        <f>IF($E$9="H",+(VLOOKUP(B70,'CSO2001'!_xlnm.Print_Area,11)-VLOOKUP(B70+$E$8,'CSO2001'!_xlnm.Print_Area,11))/(VLOOKUP(B70,'CSO2001'!_xlnm.Print_Area,9)-VLOOKUP(B70+$E$8,'CSO2001'!_xlnm.Print_Area,9))*$E$7,+(VLOOKUP(B70-3,'CSO2001'!_xlnm.Print_Area,11)-VLOOKUP(B70-3+$E$8,'CSO2001'!_xlnm.Print_Area,11))/(VLOOKUP(B70-3,'CSO2001'!_xlnm.Print_Area,9)-VLOOKUP(B70-3+$E$8,'CSO2001'!_xlnm.Print_Area,9))*$E$7)*(1+$E$10)</f>
        <v>58.95285173964109</v>
      </c>
      <c r="D70" s="48">
        <f>+C70/(1-$D$13)</f>
        <v>117.90570347928218</v>
      </c>
      <c r="E70" s="48">
        <f t="shared" si="19"/>
        <v>126.15910272283195</v>
      </c>
      <c r="F70" s="48">
        <f t="shared" si="20"/>
        <v>124.98004568803911</v>
      </c>
      <c r="G70" s="48">
        <f t="shared" si="21"/>
        <v>122.62193161845347</v>
      </c>
      <c r="H70" s="48">
        <f t="shared" si="22"/>
        <v>117.90570347928218</v>
      </c>
      <c r="I70" s="48">
        <f t="shared" si="23"/>
        <v>10.513258560235995</v>
      </c>
      <c r="J70" s="48">
        <f t="shared" si="24"/>
        <v>31.245011422009778</v>
      </c>
      <c r="K70" s="48">
        <f t="shared" si="25"/>
        <v>61.310965809226737</v>
      </c>
      <c r="L70" s="48">
        <f t="shared" si="26"/>
        <v>117.90570347928218</v>
      </c>
    </row>
    <row r="71" spans="2:18" x14ac:dyDescent="0.2">
      <c r="B71" s="26">
        <f t="shared" si="9"/>
        <v>67</v>
      </c>
      <c r="C71" s="47">
        <f>IF($E$9="H",+(VLOOKUP(B71,'CSO2001'!_xlnm.Print_Area,11)-VLOOKUP(B71+$E$8,'CSO2001'!_xlnm.Print_Area,11))/(VLOOKUP(B71,'CSO2001'!_xlnm.Print_Area,9)-VLOOKUP(B71+$E$8,'CSO2001'!_xlnm.Print_Area,9))*$E$7,+(VLOOKUP(B71-3,'CSO2001'!_xlnm.Print_Area,11)-VLOOKUP(B71-3+$E$8,'CSO2001'!_xlnm.Print_Area,11))/(VLOOKUP(B71-3,'CSO2001'!_xlnm.Print_Area,9)-VLOOKUP(B71-3+$E$8,'CSO2001'!_xlnm.Print_Area,9))*$E$7)*(1+$E$10)</f>
        <v>63.56872532957032</v>
      </c>
      <c r="D71" s="48">
        <f>+C71/(1-$D$13)</f>
        <v>127.13745065914064</v>
      </c>
      <c r="E71" s="48">
        <f t="shared" si="19"/>
        <v>136.03707220528048</v>
      </c>
      <c r="F71" s="48">
        <f t="shared" si="20"/>
        <v>134.76569769868908</v>
      </c>
      <c r="G71" s="48">
        <f t="shared" si="21"/>
        <v>132.22294868550628</v>
      </c>
      <c r="H71" s="48">
        <f t="shared" si="22"/>
        <v>127.13745065914064</v>
      </c>
      <c r="I71" s="48">
        <f t="shared" si="23"/>
        <v>11.336422683773373</v>
      </c>
      <c r="J71" s="48">
        <f t="shared" si="24"/>
        <v>33.69142442467227</v>
      </c>
      <c r="K71" s="48">
        <f t="shared" si="25"/>
        <v>66.111474342753141</v>
      </c>
      <c r="L71" s="48">
        <f t="shared" si="26"/>
        <v>127.13745065914064</v>
      </c>
    </row>
    <row r="72" spans="2:18" x14ac:dyDescent="0.2">
      <c r="B72" s="26">
        <f t="shared" si="9"/>
        <v>68</v>
      </c>
      <c r="C72" s="47">
        <f>IF($E$9="H",+(VLOOKUP(B72,'CSO2001'!_xlnm.Print_Area,11)-VLOOKUP(B72+$E$8,'CSO2001'!_xlnm.Print_Area,11))/(VLOOKUP(B72,'CSO2001'!_xlnm.Print_Area,9)-VLOOKUP(B72+$E$8,'CSO2001'!_xlnm.Print_Area,9))*$E$7,+(VLOOKUP(B72-3,'CSO2001'!_xlnm.Print_Area,11)-VLOOKUP(B72-3+$E$8,'CSO2001'!_xlnm.Print_Area,11))/(VLOOKUP(B72-3,'CSO2001'!_xlnm.Print_Area,9)-VLOOKUP(B72-3+$E$8,'CSO2001'!_xlnm.Print_Area,9))*$E$7)*(1+$E$10)</f>
        <v>68.466764366012526</v>
      </c>
      <c r="D72" s="48">
        <f>+C72/(1-$D$13)</f>
        <v>136.93352873202505</v>
      </c>
      <c r="E72" s="48">
        <f t="shared" si="19"/>
        <v>146.51887574326682</v>
      </c>
      <c r="F72" s="48">
        <f t="shared" si="20"/>
        <v>145.14954045594655</v>
      </c>
      <c r="G72" s="48">
        <f t="shared" si="21"/>
        <v>142.41086988130607</v>
      </c>
      <c r="H72" s="48">
        <f t="shared" si="22"/>
        <v>136.93352873202505</v>
      </c>
      <c r="I72" s="48">
        <f t="shared" si="23"/>
        <v>12.209906311938902</v>
      </c>
      <c r="J72" s="48">
        <f t="shared" si="24"/>
        <v>36.287385113986637</v>
      </c>
      <c r="K72" s="48">
        <f t="shared" si="25"/>
        <v>71.205434940653035</v>
      </c>
      <c r="L72" s="48">
        <f t="shared" si="26"/>
        <v>136.93352873202505</v>
      </c>
    </row>
    <row r="73" spans="2:18" x14ac:dyDescent="0.2">
      <c r="B73" s="26">
        <f t="shared" si="9"/>
        <v>69</v>
      </c>
      <c r="C73" s="47">
        <f>IF($E$9="H",+(VLOOKUP(B73,'CSO2001'!_xlnm.Print_Area,11)-VLOOKUP(B73+$E$8,'CSO2001'!_xlnm.Print_Area,11))/(VLOOKUP(B73,'CSO2001'!_xlnm.Print_Area,9)-VLOOKUP(B73+$E$8,'CSO2001'!_xlnm.Print_Area,9))*$E$7,+(VLOOKUP(B73-3,'CSO2001'!_xlnm.Print_Area,11)-VLOOKUP(B73-3+$E$8,'CSO2001'!_xlnm.Print_Area,11))/(VLOOKUP(B73-3,'CSO2001'!_xlnm.Print_Area,9)-VLOOKUP(B73-3+$E$8,'CSO2001'!_xlnm.Print_Area,9))*$E$7)*(1+$E$10)</f>
        <v>73.659656581613149</v>
      </c>
      <c r="D73" s="48">
        <f>+C73/(1-$D$13)</f>
        <v>147.3193131632263</v>
      </c>
      <c r="E73" s="48">
        <f t="shared" si="19"/>
        <v>157.63166508465216</v>
      </c>
      <c r="F73" s="48">
        <f t="shared" si="20"/>
        <v>156.15847195301987</v>
      </c>
      <c r="G73" s="48">
        <f t="shared" si="21"/>
        <v>153.21208568975536</v>
      </c>
      <c r="H73" s="48">
        <f t="shared" si="22"/>
        <v>147.3193131632263</v>
      </c>
      <c r="I73" s="48">
        <f t="shared" si="23"/>
        <v>13.13597209038768</v>
      </c>
      <c r="J73" s="48">
        <f t="shared" si="24"/>
        <v>39.039617988254967</v>
      </c>
      <c r="K73" s="48">
        <f t="shared" si="25"/>
        <v>76.606042844877678</v>
      </c>
      <c r="L73" s="48">
        <f t="shared" si="26"/>
        <v>147.3193131632263</v>
      </c>
    </row>
    <row r="74" spans="2:18" x14ac:dyDescent="0.2">
      <c r="B74" s="26">
        <f t="shared" si="9"/>
        <v>70</v>
      </c>
      <c r="C74" s="47">
        <f>IF($E$9="H",+(VLOOKUP(B74,'CSO2001'!_xlnm.Print_Area,11)-VLOOKUP(B74+$E$8,'CSO2001'!_xlnm.Print_Area,11))/(VLOOKUP(B74,'CSO2001'!_xlnm.Print_Area,9)-VLOOKUP(B74+$E$8,'CSO2001'!_xlnm.Print_Area,9))*$E$7,+(VLOOKUP(B74-3,'CSO2001'!_xlnm.Print_Area,11)-VLOOKUP(B74-3+$E$8,'CSO2001'!_xlnm.Print_Area,11))/(VLOOKUP(B74-3,'CSO2001'!_xlnm.Print_Area,9)-VLOOKUP(B74-3+$E$8,'CSO2001'!_xlnm.Print_Area,9))*$E$7)*(1+$E$10)</f>
        <v>79.191367123840223</v>
      </c>
      <c r="D74" s="48">
        <f>+C74/(1-$D$13)</f>
        <v>158.38273424768045</v>
      </c>
      <c r="E74" s="48">
        <f t="shared" si="19"/>
        <v>169.46952564501808</v>
      </c>
      <c r="F74" s="48">
        <f t="shared" si="20"/>
        <v>167.88569830254127</v>
      </c>
      <c r="G74" s="48">
        <f t="shared" si="21"/>
        <v>164.71804361758768</v>
      </c>
      <c r="H74" s="48">
        <f t="shared" si="22"/>
        <v>158.38273424768045</v>
      </c>
      <c r="I74" s="48">
        <f t="shared" si="23"/>
        <v>14.122460470418174</v>
      </c>
      <c r="J74" s="48">
        <f t="shared" si="24"/>
        <v>41.971424575635318</v>
      </c>
      <c r="K74" s="48">
        <f t="shared" si="25"/>
        <v>82.359021808793841</v>
      </c>
      <c r="L74" s="48">
        <f t="shared" si="26"/>
        <v>158.38273424768045</v>
      </c>
    </row>
  </sheetData>
  <mergeCells count="8">
    <mergeCell ref="B11:D11"/>
    <mergeCell ref="B12:D12"/>
    <mergeCell ref="I14:L14"/>
    <mergeCell ref="E15:H15"/>
    <mergeCell ref="B3:L3"/>
    <mergeCell ref="B4:L4"/>
    <mergeCell ref="B8:D8"/>
    <mergeCell ref="B9:D9"/>
  </mergeCells>
  <phoneticPr fontId="5" type="noConversion"/>
  <dataValidations count="1">
    <dataValidation allowBlank="1" showInputMessage="1" showErrorMessage="1" prompt="CELDA PROTEGIDA!!!!" sqref="D14" xr:uid="{00000000-0002-0000-0600-000000000000}"/>
  </dataValidations>
  <pageMargins left="0.98425196850393704" right="0.39370078740157499" top="0.78740157480314998" bottom="0.59055118110236204" header="0" footer="0"/>
  <pageSetup scale="75" orientation="landscape" horizontalDpi="4294967293" verticalDpi="0" r:id="rId1"/>
  <headerFooter alignWithMargins="0"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4"/>
  <sheetViews>
    <sheetView topLeftCell="A3" workbookViewId="0">
      <selection activeCell="B23" sqref="B23:N23"/>
    </sheetView>
  </sheetViews>
  <sheetFormatPr defaultColWidth="11.42578125" defaultRowHeight="12.75" x14ac:dyDescent="0.2"/>
  <cols>
    <col min="1" max="2" width="11.42578125" customWidth="1"/>
    <col min="3" max="3" width="14.42578125" customWidth="1"/>
    <col min="4" max="4" width="15.28515625" customWidth="1"/>
    <col min="5" max="5" width="17.140625" customWidth="1"/>
    <col min="6" max="6" width="15.7109375" customWidth="1"/>
    <col min="7" max="7" width="14" customWidth="1"/>
    <col min="8" max="8" width="14.5703125" customWidth="1"/>
    <col min="9" max="9" width="14.7109375" customWidth="1"/>
    <col min="10" max="10" width="13.85546875" customWidth="1"/>
    <col min="11" max="11" width="16" customWidth="1"/>
    <col min="12" max="12" width="13.85546875" customWidth="1"/>
    <col min="13" max="13" width="12.28515625" bestFit="1" customWidth="1"/>
  </cols>
  <sheetData>
    <row r="1" spans="2:12" x14ac:dyDescent="0.2">
      <c r="K1" s="1" t="s">
        <v>43</v>
      </c>
    </row>
    <row r="2" spans="2:12" x14ac:dyDescent="0.2">
      <c r="L2" s="1"/>
    </row>
    <row r="3" spans="2:12" ht="18" x14ac:dyDescent="0.25">
      <c r="B3" s="161" t="s">
        <v>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2:12" ht="15.75" x14ac:dyDescent="0.25">
      <c r="B4" s="141" t="s">
        <v>44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6" spans="2:12" ht="6" customHeight="1" x14ac:dyDescent="0.2"/>
    <row r="7" spans="2:12" ht="18" x14ac:dyDescent="0.25">
      <c r="B7" s="44" t="s">
        <v>21</v>
      </c>
      <c r="C7" s="44"/>
      <c r="D7" s="44"/>
      <c r="E7" s="42">
        <v>1000</v>
      </c>
    </row>
    <row r="8" spans="2:12" ht="18" x14ac:dyDescent="0.25">
      <c r="B8" s="168" t="s">
        <v>22</v>
      </c>
      <c r="C8" s="168"/>
      <c r="D8" s="168"/>
      <c r="E8" s="40">
        <v>25</v>
      </c>
      <c r="F8" s="76" t="s">
        <v>17</v>
      </c>
      <c r="H8" s="49"/>
    </row>
    <row r="9" spans="2:12" ht="18" x14ac:dyDescent="0.25">
      <c r="B9" s="168" t="s">
        <v>23</v>
      </c>
      <c r="C9" s="168"/>
      <c r="D9" s="168"/>
      <c r="E9" s="40" t="s">
        <v>52</v>
      </c>
      <c r="F9" s="41"/>
    </row>
    <row r="10" spans="2:12" ht="18" x14ac:dyDescent="0.25">
      <c r="B10" s="81"/>
      <c r="C10" s="81" t="s">
        <v>68</v>
      </c>
      <c r="D10" s="81"/>
      <c r="E10" s="80">
        <v>0</v>
      </c>
      <c r="F10" s="41"/>
      <c r="I10" s="35"/>
    </row>
    <row r="11" spans="2:12" x14ac:dyDescent="0.2">
      <c r="B11" s="169" t="s">
        <v>9</v>
      </c>
      <c r="C11" s="169"/>
      <c r="D11" s="170"/>
      <c r="E11" s="28" t="s">
        <v>4</v>
      </c>
      <c r="F11" s="28" t="s">
        <v>5</v>
      </c>
      <c r="G11" s="28" t="s">
        <v>6</v>
      </c>
      <c r="H11" s="28" t="s">
        <v>7</v>
      </c>
    </row>
    <row r="12" spans="2:12" x14ac:dyDescent="0.2">
      <c r="B12" s="171" t="s">
        <v>8</v>
      </c>
      <c r="C12" s="171"/>
      <c r="D12" s="172"/>
      <c r="E12" s="29">
        <v>7.0000000000000007E-2</v>
      </c>
      <c r="F12" s="29">
        <v>0.06</v>
      </c>
      <c r="G12" s="29">
        <v>0.04</v>
      </c>
      <c r="H12" s="29">
        <v>0</v>
      </c>
    </row>
    <row r="13" spans="2:12" ht="13.5" thickBot="1" x14ac:dyDescent="0.25">
      <c r="C13" s="24"/>
      <c r="D13" s="45">
        <v>0.5</v>
      </c>
      <c r="E13" s="30"/>
      <c r="F13" s="30"/>
      <c r="G13" s="30"/>
      <c r="H13" s="30"/>
      <c r="I13" s="31"/>
      <c r="J13" s="31"/>
      <c r="K13" s="31"/>
      <c r="L13" s="31"/>
    </row>
    <row r="14" spans="2:12" ht="13.5" thickBot="1" x14ac:dyDescent="0.25">
      <c r="C14" s="2"/>
      <c r="D14" s="39"/>
      <c r="I14" s="162" t="s">
        <v>15</v>
      </c>
      <c r="J14" s="163"/>
      <c r="K14" s="163"/>
      <c r="L14" s="164"/>
    </row>
    <row r="15" spans="2:12" ht="13.5" thickBot="1" x14ac:dyDescent="0.25">
      <c r="B15" s="4" t="s">
        <v>1</v>
      </c>
      <c r="C15" s="74" t="s">
        <v>19</v>
      </c>
      <c r="D15" s="75" t="s">
        <v>20</v>
      </c>
      <c r="E15" s="165" t="s">
        <v>16</v>
      </c>
      <c r="F15" s="166"/>
      <c r="G15" s="166"/>
      <c r="H15" s="167"/>
      <c r="I15" s="4" t="s">
        <v>4</v>
      </c>
      <c r="J15" s="27" t="s">
        <v>5</v>
      </c>
      <c r="K15" s="5" t="s">
        <v>6</v>
      </c>
      <c r="L15" s="27" t="s">
        <v>7</v>
      </c>
    </row>
    <row r="16" spans="2:12" x14ac:dyDescent="0.2">
      <c r="B16" s="56">
        <v>12</v>
      </c>
      <c r="C16" s="47">
        <f>IF($E$9="H",+(VLOOKUP(B16,'CSO2001'!_xlnm.Print_Area,11)-VLOOKUP(B16+$E$8,'CSO2001'!_xlnm.Print_Area,11))/(VLOOKUP(B16,'CSO2001'!_xlnm.Print_Area,9)-VLOOKUP(B16+$E$8,'CSO2001'!_xlnm.Print_Area,9))*$E$7,+(VLOOKUP(B16-3,'CSO2001'!_xlnm.Print_Area,11)-VLOOKUP(B16-3+$E$8,'CSO2001'!_xlnm.Print_Area,11))/(VLOOKUP(B16-3,'CSO2001'!_xlnm.Print_Area,9)-VLOOKUP(B16-3+$E$8,'CSO2001'!_xlnm.Print_Area,9))*$E$7)*(1+$E$10)</f>
        <v>1.4301288771699945</v>
      </c>
      <c r="D16" s="48">
        <f>+C16/(1-$D$13)</f>
        <v>2.860257754339989</v>
      </c>
      <c r="E16" s="48">
        <f>+$D16*(1+$E$12)</f>
        <v>3.0604757971437886</v>
      </c>
      <c r="F16" s="48">
        <f>+$D16*(1+$F$12)</f>
        <v>3.0318732196003886</v>
      </c>
      <c r="G16" s="48">
        <f>+$D16*(1+$G$12)</f>
        <v>2.9746680645135886</v>
      </c>
      <c r="H16" s="48">
        <f>+$D16*(1+$H$12)</f>
        <v>2.860257754339989</v>
      </c>
      <c r="I16" s="48">
        <f>+E16/12</f>
        <v>0.2550396497619824</v>
      </c>
      <c r="J16" s="48">
        <f>+F16/4</f>
        <v>0.75796830490009715</v>
      </c>
      <c r="K16" s="48">
        <f>+G16/2</f>
        <v>1.4873340322567943</v>
      </c>
      <c r="L16" s="48">
        <f>+H16</f>
        <v>2.860257754339989</v>
      </c>
    </row>
    <row r="17" spans="2:13" x14ac:dyDescent="0.2">
      <c r="B17" s="56">
        <v>13</v>
      </c>
      <c r="C17" s="47">
        <f>IF($E$9="H",+(VLOOKUP(B17,'CSO2001'!_xlnm.Print_Area,11)-VLOOKUP(B17+$E$8,'CSO2001'!_xlnm.Print_Area,11))/(VLOOKUP(B17,'CSO2001'!_xlnm.Print_Area,9)-VLOOKUP(B17+$E$8,'CSO2001'!_xlnm.Print_Area,9))*$E$7,+(VLOOKUP(B17-3,'CSO2001'!_xlnm.Print_Area,11)-VLOOKUP(B17-3+$E$8,'CSO2001'!_xlnm.Print_Area,11))/(VLOOKUP(B17-3,'CSO2001'!_xlnm.Print_Area,9)-VLOOKUP(B17-3+$E$8,'CSO2001'!_xlnm.Print_Area,9))*$E$7)*(1+$E$10)</f>
        <v>1.5010647644353696</v>
      </c>
      <c r="D17" s="48">
        <f t="shared" ref="D17:D19" si="0">+C17/(1-$D$13)</f>
        <v>3.0021295288707393</v>
      </c>
      <c r="E17" s="48">
        <f t="shared" ref="E17:E19" si="1">+$D17*(1+$E$12)</f>
        <v>3.2122785958916911</v>
      </c>
      <c r="F17" s="48">
        <f t="shared" ref="F17:F19" si="2">+$D17*(1+$F$12)</f>
        <v>3.1822573006029837</v>
      </c>
      <c r="G17" s="48">
        <f t="shared" ref="G17:G19" si="3">+$D17*(1+$G$12)</f>
        <v>3.1222147100255691</v>
      </c>
      <c r="H17" s="48">
        <f t="shared" ref="H17:H19" si="4">+$D17*(1+$H$12)</f>
        <v>3.0021295288707393</v>
      </c>
      <c r="I17" s="48">
        <f t="shared" ref="I17:I19" si="5">+E17/12</f>
        <v>0.26768988299097424</v>
      </c>
      <c r="J17" s="48">
        <f t="shared" ref="J17:J19" si="6">+F17/4</f>
        <v>0.79556432515074593</v>
      </c>
      <c r="K17" s="48">
        <f t="shared" ref="K17:K19" si="7">+G17/2</f>
        <v>1.5611073550127845</v>
      </c>
      <c r="L17" s="48">
        <f t="shared" ref="L17:L19" si="8">+H17</f>
        <v>3.0021295288707393</v>
      </c>
    </row>
    <row r="18" spans="2:13" x14ac:dyDescent="0.2">
      <c r="B18" s="56">
        <v>14</v>
      </c>
      <c r="C18" s="47">
        <f>IF($E$9="H",+(VLOOKUP(B18,'CSO2001'!_xlnm.Print_Area,11)-VLOOKUP(B18+$E$8,'CSO2001'!_xlnm.Print_Area,11))/(VLOOKUP(B18,'CSO2001'!_xlnm.Print_Area,9)-VLOOKUP(B18+$E$8,'CSO2001'!_xlnm.Print_Area,9))*$E$7,+(VLOOKUP(B18-3,'CSO2001'!_xlnm.Print_Area,11)-VLOOKUP(B18-3+$E$8,'CSO2001'!_xlnm.Print_Area,11))/(VLOOKUP(B18-3,'CSO2001'!_xlnm.Print_Area,9)-VLOOKUP(B18-3+$E$8,'CSO2001'!_xlnm.Print_Area,9))*$E$7)*(1+$E$10)</f>
        <v>1.573004216695977</v>
      </c>
      <c r="D18" s="48">
        <f t="shared" si="0"/>
        <v>3.146008433391954</v>
      </c>
      <c r="E18" s="48">
        <f t="shared" si="1"/>
        <v>3.366229023729391</v>
      </c>
      <c r="F18" s="48">
        <f t="shared" si="2"/>
        <v>3.3347689393954716</v>
      </c>
      <c r="G18" s="48">
        <f t="shared" si="3"/>
        <v>3.2718487707276322</v>
      </c>
      <c r="H18" s="48">
        <f t="shared" si="4"/>
        <v>3.146008433391954</v>
      </c>
      <c r="I18" s="48">
        <f t="shared" si="5"/>
        <v>0.28051908531078257</v>
      </c>
      <c r="J18" s="48">
        <f t="shared" si="6"/>
        <v>0.8336922348488679</v>
      </c>
      <c r="K18" s="48">
        <f t="shared" si="7"/>
        <v>1.6359243853638161</v>
      </c>
      <c r="L18" s="48">
        <f t="shared" si="8"/>
        <v>3.146008433391954</v>
      </c>
    </row>
    <row r="19" spans="2:13" x14ac:dyDescent="0.2">
      <c r="B19" s="56">
        <v>15</v>
      </c>
      <c r="C19" s="47">
        <f>IF($E$9="H",+(VLOOKUP(B19,'CSO2001'!_xlnm.Print_Area,11)-VLOOKUP(B19+$E$8,'CSO2001'!_xlnm.Print_Area,11))/(VLOOKUP(B19,'CSO2001'!_xlnm.Print_Area,9)-VLOOKUP(B19+$E$8,'CSO2001'!_xlnm.Print_Area,9))*$E$7,+(VLOOKUP(B19-3,'CSO2001'!_xlnm.Print_Area,11)-VLOOKUP(B19-3+$E$8,'CSO2001'!_xlnm.Print_Area,11))/(VLOOKUP(B19-3,'CSO2001'!_xlnm.Print_Area,9)-VLOOKUP(B19-3+$E$8,'CSO2001'!_xlnm.Print_Area,9))*$E$7)*(1+$E$10)</f>
        <v>1.6441558086417472</v>
      </c>
      <c r="D19" s="48">
        <f t="shared" si="0"/>
        <v>3.2883116172834943</v>
      </c>
      <c r="E19" s="48">
        <f t="shared" si="1"/>
        <v>3.5184934304933391</v>
      </c>
      <c r="F19" s="48">
        <f t="shared" si="2"/>
        <v>3.4856103143205042</v>
      </c>
      <c r="G19" s="48">
        <f t="shared" si="3"/>
        <v>3.4198440819748344</v>
      </c>
      <c r="H19" s="48">
        <f t="shared" si="4"/>
        <v>3.2883116172834943</v>
      </c>
      <c r="I19" s="48">
        <f t="shared" si="5"/>
        <v>0.2932077858744449</v>
      </c>
      <c r="J19" s="48">
        <f t="shared" si="6"/>
        <v>0.87140257858012604</v>
      </c>
      <c r="K19" s="48">
        <f t="shared" si="7"/>
        <v>1.7099220409874172</v>
      </c>
      <c r="L19" s="48">
        <f t="shared" si="8"/>
        <v>3.2883116172834943</v>
      </c>
    </row>
    <row r="20" spans="2:13" x14ac:dyDescent="0.2">
      <c r="B20" s="56">
        <v>16</v>
      </c>
      <c r="C20" s="47">
        <f>IF($E$9="H",+(VLOOKUP(B20,'CSO2001'!_xlnm.Print_Area,11)-VLOOKUP(B20+$E$8,'CSO2001'!_xlnm.Print_Area,11))/(VLOOKUP(B20,'CSO2001'!_xlnm.Print_Area,9)-VLOOKUP(B20+$E$8,'CSO2001'!_xlnm.Print_Area,9))*$E$7,+(VLOOKUP(B20-3,'CSO2001'!_xlnm.Print_Area,11)-VLOOKUP(B20-3+$E$8,'CSO2001'!_xlnm.Print_Area,11))/(VLOOKUP(B20-3,'CSO2001'!_xlnm.Print_Area,9)-VLOOKUP(B20-3+$E$8,'CSO2001'!_xlnm.Print_Area,9))*$E$7)*(1+$E$10)</f>
        <v>1.7094460861140444</v>
      </c>
      <c r="D20" s="48">
        <f>+C20/(1-$D$13)</f>
        <v>3.4188921722280887</v>
      </c>
      <c r="E20" s="48">
        <f>+$D20*(1+$E$12)</f>
        <v>3.6582146242840552</v>
      </c>
      <c r="F20" s="48">
        <f>+$D20*(1+$F$12)</f>
        <v>3.6240257025617741</v>
      </c>
      <c r="G20" s="48">
        <f>+$D20*(1+$G$12)</f>
        <v>3.5556478591172125</v>
      </c>
      <c r="H20" s="48">
        <f>+$D20*(1+$H$12)</f>
        <v>3.4188921722280887</v>
      </c>
      <c r="I20" s="48">
        <f>+E20/12</f>
        <v>0.30485121869033793</v>
      </c>
      <c r="J20" s="48">
        <f>+F20/4</f>
        <v>0.90600642564044354</v>
      </c>
      <c r="K20" s="48">
        <f>+G20/2</f>
        <v>1.7778239295586062</v>
      </c>
      <c r="L20" s="48">
        <f>+H20</f>
        <v>3.4188921722280887</v>
      </c>
    </row>
    <row r="21" spans="2:13" x14ac:dyDescent="0.2">
      <c r="B21" s="56">
        <v>17</v>
      </c>
      <c r="C21" s="47">
        <f>IF($E$9="H",+(VLOOKUP(B21,'CSO2001'!_xlnm.Print_Area,11)-VLOOKUP(B21+$E$8,'CSO2001'!_xlnm.Print_Area,11))/(VLOOKUP(B21,'CSO2001'!_xlnm.Print_Area,9)-VLOOKUP(B21+$E$8,'CSO2001'!_xlnm.Print_Area,9))*$E$7,+(VLOOKUP(B21-3,'CSO2001'!_xlnm.Print_Area,11)-VLOOKUP(B21-3+$E$8,'CSO2001'!_xlnm.Print_Area,11))/(VLOOKUP(B21-3,'CSO2001'!_xlnm.Print_Area,9)-VLOOKUP(B21-3+$E$8,'CSO2001'!_xlnm.Print_Area,9))*$E$7)*(1+$E$10)</f>
        <v>1.7708137299319964</v>
      </c>
      <c r="D21" s="48">
        <f>+C21/(1-$D$13)</f>
        <v>3.5416274598639927</v>
      </c>
      <c r="E21" s="48">
        <f>+$D21*(1+$E$12)</f>
        <v>3.7895413820544723</v>
      </c>
      <c r="F21" s="48">
        <f>+$D21*(1+$F$12)</f>
        <v>3.7541251074558324</v>
      </c>
      <c r="G21" s="48">
        <f>+$D21*(1+$G$12)</f>
        <v>3.6832925582585525</v>
      </c>
      <c r="H21" s="48">
        <f>+$D21*(1+$H$12)</f>
        <v>3.5416274598639927</v>
      </c>
      <c r="I21" s="48">
        <f>+E21/12</f>
        <v>0.31579511517120601</v>
      </c>
      <c r="J21" s="48">
        <f>+F21/4</f>
        <v>0.9385312768639581</v>
      </c>
      <c r="K21" s="48">
        <f>+G21/2</f>
        <v>1.8416462791292763</v>
      </c>
      <c r="L21" s="48">
        <f>+H21</f>
        <v>3.5416274598639927</v>
      </c>
    </row>
    <row r="22" spans="2:13" x14ac:dyDescent="0.2">
      <c r="B22" s="26">
        <v>18</v>
      </c>
      <c r="C22" s="47">
        <f>IF($E$9="H",+(VLOOKUP(B22,'CSO2001'!_xlnm.Print_Area,11)-VLOOKUP(B22+$E$8,'CSO2001'!_xlnm.Print_Area,11))/(VLOOKUP(B22,'CSO2001'!_xlnm.Print_Area,9)-VLOOKUP(B22+$E$8,'CSO2001'!_xlnm.Print_Area,9))*$E$7,+(VLOOKUP(B22-3,'CSO2001'!_xlnm.Print_Area,11)-VLOOKUP(B22-3+$E$8,'CSO2001'!_xlnm.Print_Area,11))/(VLOOKUP(B22-3,'CSO2001'!_xlnm.Print_Area,9)-VLOOKUP(B22-3+$E$8,'CSO2001'!_xlnm.Print_Area,9))*$E$7)*(1+$E$10)</f>
        <v>1.8293481948800392</v>
      </c>
      <c r="D22" s="48">
        <f>+C22/(1-$D$13)</f>
        <v>3.6586963897600784</v>
      </c>
      <c r="E22" s="48">
        <f>+$D22*(1+$E$12)</f>
        <v>3.9148051370432841</v>
      </c>
      <c r="F22" s="48">
        <f>+$D22*(1+$F$12)</f>
        <v>3.8782181731456831</v>
      </c>
      <c r="G22" s="48">
        <f>+$D22*(1+$G$12)</f>
        <v>3.8050442453504818</v>
      </c>
      <c r="H22" s="48">
        <f>+$D22*(1+$H$12)</f>
        <v>3.6586963897600784</v>
      </c>
      <c r="I22" s="48">
        <f>+E22/12</f>
        <v>0.32623376142027366</v>
      </c>
      <c r="J22" s="48">
        <f>+F22/4</f>
        <v>0.96955454328642077</v>
      </c>
      <c r="K22" s="48">
        <f>+G22/2</f>
        <v>1.9025221226752409</v>
      </c>
      <c r="L22" s="48">
        <f>+H22</f>
        <v>3.6586963897600784</v>
      </c>
    </row>
    <row r="23" spans="2:13" x14ac:dyDescent="0.2">
      <c r="B23" s="26">
        <f t="shared" ref="B23:B74" si="9">+B22+1</f>
        <v>19</v>
      </c>
      <c r="C23" s="47">
        <f>IF($E$9="H",+(VLOOKUP(B23,'CSO2001'!_xlnm.Print_Area,11)-VLOOKUP(B23+$E$8,'CSO2001'!_xlnm.Print_Area,11))/(VLOOKUP(B23,'CSO2001'!_xlnm.Print_Area,9)-VLOOKUP(B23+$E$8,'CSO2001'!_xlnm.Print_Area,9))*$E$7,+(VLOOKUP(B23-3,'CSO2001'!_xlnm.Print_Area,11)-VLOOKUP(B23-3+$E$8,'CSO2001'!_xlnm.Print_Area,11))/(VLOOKUP(B23-3,'CSO2001'!_xlnm.Print_Area,9)-VLOOKUP(B23-3+$E$8,'CSO2001'!_xlnm.Print_Area,9))*$E$7)*(1+$E$10)</f>
        <v>1.8912144375349229</v>
      </c>
      <c r="D23" s="48">
        <f t="shared" ref="D23:D69" si="10">+C23/(1-$D$13)</f>
        <v>3.7824288750698458</v>
      </c>
      <c r="E23" s="48">
        <f t="shared" ref="E23:E68" si="11">+$D23*(1+$E$12)</f>
        <v>4.0471988963247352</v>
      </c>
      <c r="F23" s="48">
        <f t="shared" ref="F23:F68" si="12">+$D23*(1+$F$12)</f>
        <v>4.0093746075740366</v>
      </c>
      <c r="G23" s="48">
        <f t="shared" ref="G23:G68" si="13">+$D23*(1+$G$12)</f>
        <v>3.93372603007264</v>
      </c>
      <c r="H23" s="48">
        <f t="shared" ref="H23:H68" si="14">+$D23*(1+$H$12)</f>
        <v>3.7824288750698458</v>
      </c>
      <c r="I23" s="48">
        <f t="shared" ref="I23:I68" si="15">+E23/12</f>
        <v>0.33726657469372795</v>
      </c>
      <c r="J23" s="48">
        <f t="shared" ref="J23:J68" si="16">+F23/4</f>
        <v>1.0023436518935092</v>
      </c>
      <c r="K23" s="48">
        <f t="shared" ref="K23:K68" si="17">+G23/2</f>
        <v>1.96686301503632</v>
      </c>
      <c r="L23" s="48">
        <f t="shared" ref="L23:L68" si="18">+H23</f>
        <v>3.7824288750698458</v>
      </c>
    </row>
    <row r="24" spans="2:13" x14ac:dyDescent="0.2">
      <c r="B24" s="26">
        <f t="shared" si="9"/>
        <v>20</v>
      </c>
      <c r="C24" s="47">
        <f>IF($E$9="H",+(VLOOKUP(B24,'CSO2001'!_xlnm.Print_Area,11)-VLOOKUP(B24+$E$8,'CSO2001'!_xlnm.Print_Area,11))/(VLOOKUP(B24,'CSO2001'!_xlnm.Print_Area,9)-VLOOKUP(B24+$E$8,'CSO2001'!_xlnm.Print_Area,9))*$E$7,+(VLOOKUP(B24-3,'CSO2001'!_xlnm.Print_Area,11)-VLOOKUP(B24-3+$E$8,'CSO2001'!_xlnm.Print_Area,11))/(VLOOKUP(B24-3,'CSO2001'!_xlnm.Print_Area,9)-VLOOKUP(B24-3+$E$8,'CSO2001'!_xlnm.Print_Area,9))*$E$7)*(1+$E$10)</f>
        <v>1.9612858044878303</v>
      </c>
      <c r="D24" s="48">
        <f t="shared" si="10"/>
        <v>3.9225716089756606</v>
      </c>
      <c r="E24" s="48">
        <f t="shared" si="11"/>
        <v>4.1971516216039575</v>
      </c>
      <c r="F24" s="48">
        <f t="shared" si="12"/>
        <v>4.1579259055142002</v>
      </c>
      <c r="G24" s="48">
        <f t="shared" si="13"/>
        <v>4.0794744733346873</v>
      </c>
      <c r="H24" s="48">
        <f t="shared" si="14"/>
        <v>3.9225716089756606</v>
      </c>
      <c r="I24" s="48">
        <f t="shared" si="15"/>
        <v>0.34976263513366312</v>
      </c>
      <c r="J24" s="48">
        <f t="shared" si="16"/>
        <v>1.03948147637855</v>
      </c>
      <c r="K24" s="48">
        <f t="shared" si="17"/>
        <v>2.0397372366673436</v>
      </c>
      <c r="L24" s="48">
        <f t="shared" si="18"/>
        <v>3.9225716089756606</v>
      </c>
      <c r="M24" s="25"/>
    </row>
    <row r="25" spans="2:13" x14ac:dyDescent="0.2">
      <c r="B25" s="26">
        <f t="shared" si="9"/>
        <v>21</v>
      </c>
      <c r="C25" s="47">
        <f>IF($E$9="H",+(VLOOKUP(B25,'CSO2001'!_xlnm.Print_Area,11)-VLOOKUP(B25+$E$8,'CSO2001'!_xlnm.Print_Area,11))/(VLOOKUP(B25,'CSO2001'!_xlnm.Print_Area,9)-VLOOKUP(B25+$E$8,'CSO2001'!_xlnm.Print_Area,9))*$E$7,+(VLOOKUP(B25-3,'CSO2001'!_xlnm.Print_Area,11)-VLOOKUP(B25-3+$E$8,'CSO2001'!_xlnm.Print_Area,11))/(VLOOKUP(B25-3,'CSO2001'!_xlnm.Print_Area,9)-VLOOKUP(B25-3+$E$8,'CSO2001'!_xlnm.Print_Area,9))*$E$7)*(1+$E$10)</f>
        <v>2.0424300387050001</v>
      </c>
      <c r="D25" s="48">
        <f t="shared" si="10"/>
        <v>4.0848600774100001</v>
      </c>
      <c r="E25" s="48">
        <f t="shared" si="11"/>
        <v>4.3708002828287</v>
      </c>
      <c r="F25" s="48">
        <f t="shared" si="12"/>
        <v>4.3299516820546007</v>
      </c>
      <c r="G25" s="48">
        <f t="shared" si="13"/>
        <v>4.2482544805064002</v>
      </c>
      <c r="H25" s="48">
        <f t="shared" si="14"/>
        <v>4.0848600774100001</v>
      </c>
      <c r="I25" s="48">
        <f t="shared" si="15"/>
        <v>0.36423335690239167</v>
      </c>
      <c r="J25" s="48">
        <f t="shared" si="16"/>
        <v>1.0824879205136502</v>
      </c>
      <c r="K25" s="48">
        <f t="shared" si="17"/>
        <v>2.1241272402532001</v>
      </c>
      <c r="L25" s="48">
        <f t="shared" si="18"/>
        <v>4.0848600774100001</v>
      </c>
    </row>
    <row r="26" spans="2:13" x14ac:dyDescent="0.2">
      <c r="B26" s="26">
        <f t="shared" si="9"/>
        <v>22</v>
      </c>
      <c r="C26" s="47">
        <f>IF($E$9="H",+(VLOOKUP(B26,'CSO2001'!_xlnm.Print_Area,11)-VLOOKUP(B26+$E$8,'CSO2001'!_xlnm.Print_Area,11))/(VLOOKUP(B26,'CSO2001'!_xlnm.Print_Area,9)-VLOOKUP(B26+$E$8,'CSO2001'!_xlnm.Print_Area,9))*$E$7,+(VLOOKUP(B26-3,'CSO2001'!_xlnm.Print_Area,11)-VLOOKUP(B26-3+$E$8,'CSO2001'!_xlnm.Print_Area,11))/(VLOOKUP(B26-3,'CSO2001'!_xlnm.Print_Area,9)-VLOOKUP(B26-3+$E$8,'CSO2001'!_xlnm.Print_Area,9))*$E$7)*(1+$E$10)</f>
        <v>2.1363639755750574</v>
      </c>
      <c r="D26" s="48">
        <f t="shared" si="10"/>
        <v>4.2727279511501148</v>
      </c>
      <c r="E26" s="48">
        <f t="shared" si="11"/>
        <v>4.5718189077306235</v>
      </c>
      <c r="F26" s="48">
        <f t="shared" si="12"/>
        <v>4.5290916282191223</v>
      </c>
      <c r="G26" s="48">
        <f t="shared" si="13"/>
        <v>4.4436370691961198</v>
      </c>
      <c r="H26" s="48">
        <f t="shared" si="14"/>
        <v>4.2727279511501148</v>
      </c>
      <c r="I26" s="48">
        <f t="shared" si="15"/>
        <v>0.38098490897755194</v>
      </c>
      <c r="J26" s="48">
        <f t="shared" si="16"/>
        <v>1.1322729070547806</v>
      </c>
      <c r="K26" s="48">
        <f t="shared" si="17"/>
        <v>2.2218185345980599</v>
      </c>
      <c r="L26" s="48">
        <f t="shared" si="18"/>
        <v>4.2727279511501148</v>
      </c>
    </row>
    <row r="27" spans="2:13" x14ac:dyDescent="0.2">
      <c r="B27" s="26">
        <f t="shared" si="9"/>
        <v>23</v>
      </c>
      <c r="C27" s="47">
        <f>IF($E$9="H",+(VLOOKUP(B27,'CSO2001'!_xlnm.Print_Area,11)-VLOOKUP(B27+$E$8,'CSO2001'!_xlnm.Print_Area,11))/(VLOOKUP(B27,'CSO2001'!_xlnm.Print_Area,9)-VLOOKUP(B27+$E$8,'CSO2001'!_xlnm.Print_Area,9))*$E$7,+(VLOOKUP(B27-3,'CSO2001'!_xlnm.Print_Area,11)-VLOOKUP(B27-3+$E$8,'CSO2001'!_xlnm.Print_Area,11))/(VLOOKUP(B27-3,'CSO2001'!_xlnm.Print_Area,9)-VLOOKUP(B27-3+$E$8,'CSO2001'!_xlnm.Print_Area,9))*$E$7)*(1+$E$10)</f>
        <v>2.2424488999103449</v>
      </c>
      <c r="D27" s="48">
        <f t="shared" si="10"/>
        <v>4.4848977998206898</v>
      </c>
      <c r="E27" s="48">
        <f t="shared" si="11"/>
        <v>4.7988406458081387</v>
      </c>
      <c r="F27" s="48">
        <f t="shared" si="12"/>
        <v>4.7539916678099319</v>
      </c>
      <c r="G27" s="48">
        <f t="shared" si="13"/>
        <v>4.6642937118135173</v>
      </c>
      <c r="H27" s="48">
        <f t="shared" si="14"/>
        <v>4.4848977998206898</v>
      </c>
      <c r="I27" s="48">
        <f t="shared" si="15"/>
        <v>0.39990338715067825</v>
      </c>
      <c r="J27" s="48">
        <f t="shared" si="16"/>
        <v>1.188497916952483</v>
      </c>
      <c r="K27" s="48">
        <f t="shared" si="17"/>
        <v>2.3321468559067586</v>
      </c>
      <c r="L27" s="48">
        <f t="shared" si="18"/>
        <v>4.4848977998206898</v>
      </c>
    </row>
    <row r="28" spans="2:13" x14ac:dyDescent="0.2">
      <c r="B28" s="26">
        <f t="shared" si="9"/>
        <v>24</v>
      </c>
      <c r="C28" s="47">
        <f>IF($E$9="H",+(VLOOKUP(B28,'CSO2001'!_xlnm.Print_Area,11)-VLOOKUP(B28+$E$8,'CSO2001'!_xlnm.Print_Area,11))/(VLOOKUP(B28,'CSO2001'!_xlnm.Print_Area,9)-VLOOKUP(B28+$E$8,'CSO2001'!_xlnm.Print_Area,9))*$E$7,+(VLOOKUP(B28-3,'CSO2001'!_xlnm.Print_Area,11)-VLOOKUP(B28-3+$E$8,'CSO2001'!_xlnm.Print_Area,11))/(VLOOKUP(B28-3,'CSO2001'!_xlnm.Print_Area,9)-VLOOKUP(B28-3+$E$8,'CSO2001'!_xlnm.Print_Area,9))*$E$7)*(1+$E$10)</f>
        <v>2.3574258906122476</v>
      </c>
      <c r="D28" s="48">
        <f t="shared" si="10"/>
        <v>4.7148517812244952</v>
      </c>
      <c r="E28" s="48">
        <f t="shared" si="11"/>
        <v>5.0448914059102101</v>
      </c>
      <c r="F28" s="48">
        <f t="shared" si="12"/>
        <v>4.9977428880979655</v>
      </c>
      <c r="G28" s="48">
        <f t="shared" si="13"/>
        <v>4.9034458524734754</v>
      </c>
      <c r="H28" s="48">
        <f t="shared" si="14"/>
        <v>4.7148517812244952</v>
      </c>
      <c r="I28" s="48">
        <f t="shared" si="15"/>
        <v>0.42040761715918418</v>
      </c>
      <c r="J28" s="48">
        <f t="shared" si="16"/>
        <v>1.2494357220244914</v>
      </c>
      <c r="K28" s="48">
        <f t="shared" si="17"/>
        <v>2.4517229262367377</v>
      </c>
      <c r="L28" s="48">
        <f t="shared" si="18"/>
        <v>4.7148517812244952</v>
      </c>
    </row>
    <row r="29" spans="2:13" x14ac:dyDescent="0.2">
      <c r="B29" s="26">
        <f t="shared" si="9"/>
        <v>25</v>
      </c>
      <c r="C29" s="47">
        <f>IF($E$9="H",+(VLOOKUP(B29,'CSO2001'!_xlnm.Print_Area,11)-VLOOKUP(B29+$E$8,'CSO2001'!_xlnm.Print_Area,11))/(VLOOKUP(B29,'CSO2001'!_xlnm.Print_Area,9)-VLOOKUP(B29+$E$8,'CSO2001'!_xlnm.Print_Area,9))*$E$7,+(VLOOKUP(B29-3,'CSO2001'!_xlnm.Print_Area,11)-VLOOKUP(B29-3+$E$8,'CSO2001'!_xlnm.Print_Area,11))/(VLOOKUP(B29-3,'CSO2001'!_xlnm.Print_Area,9)-VLOOKUP(B29-3+$E$8,'CSO2001'!_xlnm.Print_Area,9))*$E$7)*(1+$E$10)</f>
        <v>2.4818757838205388</v>
      </c>
      <c r="D29" s="48">
        <f t="shared" si="10"/>
        <v>4.9637515676410775</v>
      </c>
      <c r="E29" s="48">
        <f t="shared" si="11"/>
        <v>5.3112141773759536</v>
      </c>
      <c r="F29" s="48">
        <f t="shared" si="12"/>
        <v>5.2615766616995421</v>
      </c>
      <c r="G29" s="48">
        <f t="shared" si="13"/>
        <v>5.1623016303467208</v>
      </c>
      <c r="H29" s="48">
        <f t="shared" si="14"/>
        <v>4.9637515676410775</v>
      </c>
      <c r="I29" s="48">
        <f>+E29/12</f>
        <v>0.44260118144799615</v>
      </c>
      <c r="J29" s="48">
        <f>+F29/4</f>
        <v>1.3153941654248855</v>
      </c>
      <c r="K29" s="48">
        <f>+G29/2</f>
        <v>2.5811508151733604</v>
      </c>
      <c r="L29" s="48">
        <f>+H29</f>
        <v>4.9637515676410775</v>
      </c>
    </row>
    <row r="30" spans="2:13" x14ac:dyDescent="0.2">
      <c r="B30" s="26">
        <f t="shared" si="9"/>
        <v>26</v>
      </c>
      <c r="C30" s="47">
        <f>IF($E$9="H",+(VLOOKUP(B30,'CSO2001'!_xlnm.Print_Area,11)-VLOOKUP(B30+$E$8,'CSO2001'!_xlnm.Print_Area,11))/(VLOOKUP(B30,'CSO2001'!_xlnm.Print_Area,9)-VLOOKUP(B30+$E$8,'CSO2001'!_xlnm.Print_Area,9))*$E$7,+(VLOOKUP(B30-3,'CSO2001'!_xlnm.Print_Area,11)-VLOOKUP(B30-3+$E$8,'CSO2001'!_xlnm.Print_Area,11))/(VLOOKUP(B30-3,'CSO2001'!_xlnm.Print_Area,9)-VLOOKUP(B30-3+$E$8,'CSO2001'!_xlnm.Print_Area,9))*$E$7)*(1+$E$10)</f>
        <v>2.6181129201484383</v>
      </c>
      <c r="D30" s="48">
        <f t="shared" si="10"/>
        <v>5.2362258402968767</v>
      </c>
      <c r="E30" s="48">
        <f t="shared" si="11"/>
        <v>5.6027616491176584</v>
      </c>
      <c r="F30" s="48">
        <f t="shared" si="12"/>
        <v>5.5503993907146896</v>
      </c>
      <c r="G30" s="48">
        <f t="shared" si="13"/>
        <v>5.4456748739087519</v>
      </c>
      <c r="H30" s="48">
        <f t="shared" si="14"/>
        <v>5.2362258402968767</v>
      </c>
      <c r="I30" s="48">
        <f t="shared" si="15"/>
        <v>0.46689680409313822</v>
      </c>
      <c r="J30" s="48">
        <f t="shared" si="16"/>
        <v>1.3875998476786724</v>
      </c>
      <c r="K30" s="48">
        <f t="shared" si="17"/>
        <v>2.722837436954376</v>
      </c>
      <c r="L30" s="48">
        <f t="shared" si="18"/>
        <v>5.2362258402968767</v>
      </c>
    </row>
    <row r="31" spans="2:13" x14ac:dyDescent="0.2">
      <c r="B31" s="26">
        <f t="shared" si="9"/>
        <v>27</v>
      </c>
      <c r="C31" s="47">
        <f>IF($E$9="H",+(VLOOKUP(B31,'CSO2001'!_xlnm.Print_Area,11)-VLOOKUP(B31+$E$8,'CSO2001'!_xlnm.Print_Area,11))/(VLOOKUP(B31,'CSO2001'!_xlnm.Print_Area,9)-VLOOKUP(B31+$E$8,'CSO2001'!_xlnm.Print_Area,9))*$E$7,+(VLOOKUP(B31-3,'CSO2001'!_xlnm.Print_Area,11)-VLOOKUP(B31-3+$E$8,'CSO2001'!_xlnm.Print_Area,11))/(VLOOKUP(B31-3,'CSO2001'!_xlnm.Print_Area,9)-VLOOKUP(B31-3+$E$8,'CSO2001'!_xlnm.Print_Area,9))*$E$7)*(1+$E$10)</f>
        <v>2.766165855013214</v>
      </c>
      <c r="D31" s="48">
        <f t="shared" si="10"/>
        <v>5.532331710026428</v>
      </c>
      <c r="E31" s="48">
        <f t="shared" si="11"/>
        <v>5.9195949297282784</v>
      </c>
      <c r="F31" s="48">
        <f t="shared" si="12"/>
        <v>5.8642716126280137</v>
      </c>
      <c r="G31" s="48">
        <f t="shared" si="13"/>
        <v>5.7536249784274851</v>
      </c>
      <c r="H31" s="48">
        <f t="shared" si="14"/>
        <v>5.532331710026428</v>
      </c>
      <c r="I31" s="48">
        <f t="shared" si="15"/>
        <v>0.49329957747735653</v>
      </c>
      <c r="J31" s="48">
        <f t="shared" si="16"/>
        <v>1.4660679031570034</v>
      </c>
      <c r="K31" s="48">
        <f t="shared" si="17"/>
        <v>2.8768124892137426</v>
      </c>
      <c r="L31" s="48">
        <f t="shared" si="18"/>
        <v>5.532331710026428</v>
      </c>
    </row>
    <row r="32" spans="2:13" x14ac:dyDescent="0.2">
      <c r="B32" s="26">
        <f t="shared" si="9"/>
        <v>28</v>
      </c>
      <c r="C32" s="47">
        <f>IF($E$9="H",+(VLOOKUP(B32,'CSO2001'!_xlnm.Print_Area,11)-VLOOKUP(B32+$E$8,'CSO2001'!_xlnm.Print_Area,11))/(VLOOKUP(B32,'CSO2001'!_xlnm.Print_Area,9)-VLOOKUP(B32+$E$8,'CSO2001'!_xlnm.Print_Area,9))*$E$7,+(VLOOKUP(B32-3,'CSO2001'!_xlnm.Print_Area,11)-VLOOKUP(B32-3+$E$8,'CSO2001'!_xlnm.Print_Area,11))/(VLOOKUP(B32-3,'CSO2001'!_xlnm.Print_Area,9)-VLOOKUP(B32-3+$E$8,'CSO2001'!_xlnm.Print_Area,9))*$E$7)*(1+$E$10)</f>
        <v>2.9307895469584029</v>
      </c>
      <c r="D32" s="48">
        <f t="shared" si="10"/>
        <v>5.8615790939168058</v>
      </c>
      <c r="E32" s="48">
        <f t="shared" si="11"/>
        <v>6.2718896304909828</v>
      </c>
      <c r="F32" s="48">
        <f t="shared" si="12"/>
        <v>6.2132738395518148</v>
      </c>
      <c r="G32" s="48">
        <f t="shared" si="13"/>
        <v>6.0960422576734778</v>
      </c>
      <c r="H32" s="48">
        <f t="shared" si="14"/>
        <v>5.8615790939168058</v>
      </c>
      <c r="I32" s="48">
        <f t="shared" si="15"/>
        <v>0.52265746920758194</v>
      </c>
      <c r="J32" s="48">
        <f t="shared" si="16"/>
        <v>1.5533184598879537</v>
      </c>
      <c r="K32" s="48">
        <f t="shared" si="17"/>
        <v>3.0480211288367389</v>
      </c>
      <c r="L32" s="48">
        <f t="shared" si="18"/>
        <v>5.8615790939168058</v>
      </c>
    </row>
    <row r="33" spans="1:18" x14ac:dyDescent="0.2">
      <c r="B33" s="26">
        <f t="shared" si="9"/>
        <v>29</v>
      </c>
      <c r="C33" s="47">
        <f>IF($E$9="H",+(VLOOKUP(B33,'CSO2001'!_xlnm.Print_Area,11)-VLOOKUP(B33+$E$8,'CSO2001'!_xlnm.Print_Area,11))/(VLOOKUP(B33,'CSO2001'!_xlnm.Print_Area,9)-VLOOKUP(B33+$E$8,'CSO2001'!_xlnm.Print_Area,9))*$E$7,+(VLOOKUP(B33-3,'CSO2001'!_xlnm.Print_Area,11)-VLOOKUP(B33-3+$E$8,'CSO2001'!_xlnm.Print_Area,11))/(VLOOKUP(B33-3,'CSO2001'!_xlnm.Print_Area,9)-VLOOKUP(B33-3+$E$8,'CSO2001'!_xlnm.Print_Area,9))*$E$7)*(1+$E$10)</f>
        <v>3.1189931263925561</v>
      </c>
      <c r="D33" s="48">
        <f t="shared" si="10"/>
        <v>6.2379862527851122</v>
      </c>
      <c r="E33" s="48">
        <f t="shared" si="11"/>
        <v>6.6746452904800702</v>
      </c>
      <c r="F33" s="48">
        <f t="shared" si="12"/>
        <v>6.6122654279522193</v>
      </c>
      <c r="G33" s="48">
        <f t="shared" si="13"/>
        <v>6.4875057028965166</v>
      </c>
      <c r="H33" s="48">
        <f t="shared" si="14"/>
        <v>6.2379862527851122</v>
      </c>
      <c r="I33" s="48">
        <f t="shared" si="15"/>
        <v>0.55622044087333922</v>
      </c>
      <c r="J33" s="48">
        <f t="shared" si="16"/>
        <v>1.6530663569880548</v>
      </c>
      <c r="K33" s="48">
        <f t="shared" si="17"/>
        <v>3.2437528514482583</v>
      </c>
      <c r="L33" s="48">
        <f t="shared" si="18"/>
        <v>6.2379862527851122</v>
      </c>
    </row>
    <row r="34" spans="1:18" x14ac:dyDescent="0.2">
      <c r="A34" s="25"/>
      <c r="B34" s="26">
        <f t="shared" si="9"/>
        <v>30</v>
      </c>
      <c r="C34" s="47">
        <f>IF($E$9="H",+(VLOOKUP(B34,'CSO2001'!_xlnm.Print_Area,11)-VLOOKUP(B34+$E$8,'CSO2001'!_xlnm.Print_Area,11))/(VLOOKUP(B34,'CSO2001'!_xlnm.Print_Area,9)-VLOOKUP(B34+$E$8,'CSO2001'!_xlnm.Print_Area,9))*$E$7,+(VLOOKUP(B34-3,'CSO2001'!_xlnm.Print_Area,11)-VLOOKUP(B34-3+$E$8,'CSO2001'!_xlnm.Print_Area,11))/(VLOOKUP(B34-3,'CSO2001'!_xlnm.Print_Area,9)-VLOOKUP(B34-3+$E$8,'CSO2001'!_xlnm.Print_Area,9))*$E$7)*(1+$E$10)</f>
        <v>3.3376514805389288</v>
      </c>
      <c r="D34" s="48">
        <f t="shared" si="10"/>
        <v>6.6753029610778576</v>
      </c>
      <c r="E34" s="48">
        <f>+$D34*(1+$E$12)</f>
        <v>7.1425741683533079</v>
      </c>
      <c r="F34" s="48">
        <f>+$D34*(1+$F$12)</f>
        <v>7.0758211387425298</v>
      </c>
      <c r="G34" s="48">
        <f>+$D34*(1+$G$12)</f>
        <v>6.9423150795209718</v>
      </c>
      <c r="H34" s="48">
        <f>+$D34*(1+$H$12)</f>
        <v>6.6753029610778576</v>
      </c>
      <c r="I34" s="48">
        <f>+E34/12</f>
        <v>0.59521451402944237</v>
      </c>
      <c r="J34" s="48">
        <f>+F34/4</f>
        <v>1.7689552846856325</v>
      </c>
      <c r="K34" s="48">
        <f>+G34/2</f>
        <v>3.4711575397604859</v>
      </c>
      <c r="L34" s="48">
        <f>+H34</f>
        <v>6.6753029610778576</v>
      </c>
      <c r="M34" s="35"/>
      <c r="N34" s="35" t="e">
        <f>+#REF!/#REF!</f>
        <v>#REF!</v>
      </c>
      <c r="O34" s="35"/>
      <c r="P34" s="35"/>
      <c r="Q34" s="35"/>
      <c r="R34" s="35"/>
    </row>
    <row r="35" spans="1:18" x14ac:dyDescent="0.2">
      <c r="B35" s="26">
        <f t="shared" si="9"/>
        <v>31</v>
      </c>
      <c r="C35" s="47">
        <f>IF($E$9="H",+(VLOOKUP(B35,'CSO2001'!_xlnm.Print_Area,11)-VLOOKUP(B35+$E$8,'CSO2001'!_xlnm.Print_Area,11))/(VLOOKUP(B35,'CSO2001'!_xlnm.Print_Area,9)-VLOOKUP(B35+$E$8,'CSO2001'!_xlnm.Print_Area,9))*$E$7,+(VLOOKUP(B35-3,'CSO2001'!_xlnm.Print_Area,11)-VLOOKUP(B35-3+$E$8,'CSO2001'!_xlnm.Print_Area,11))/(VLOOKUP(B35-3,'CSO2001'!_xlnm.Print_Area,9)-VLOOKUP(B35-3+$E$8,'CSO2001'!_xlnm.Print_Area,9))*$E$7)*(1+$E$10)</f>
        <v>3.5906349086148071</v>
      </c>
      <c r="D35" s="48">
        <f t="shared" si="10"/>
        <v>7.1812698172296141</v>
      </c>
      <c r="E35" s="48">
        <f t="shared" si="11"/>
        <v>7.6839587044356872</v>
      </c>
      <c r="F35" s="48">
        <f t="shared" si="12"/>
        <v>7.6121460062633917</v>
      </c>
      <c r="G35" s="48">
        <f t="shared" si="13"/>
        <v>7.4685206099187988</v>
      </c>
      <c r="H35" s="48">
        <f t="shared" si="14"/>
        <v>7.1812698172296141</v>
      </c>
      <c r="I35" s="48">
        <f t="shared" si="15"/>
        <v>0.6403298920363073</v>
      </c>
      <c r="J35" s="48">
        <f t="shared" si="16"/>
        <v>1.9030365015658479</v>
      </c>
      <c r="K35" s="48">
        <f t="shared" si="17"/>
        <v>3.7342603049593994</v>
      </c>
      <c r="L35" s="48">
        <f t="shared" si="18"/>
        <v>7.1812698172296141</v>
      </c>
      <c r="M35" s="35"/>
      <c r="N35" s="35" t="e">
        <f>+N34/2</f>
        <v>#REF!</v>
      </c>
      <c r="O35" s="35"/>
      <c r="P35" s="35"/>
      <c r="Q35" s="35"/>
      <c r="R35" s="35"/>
    </row>
    <row r="36" spans="1:18" x14ac:dyDescent="0.2">
      <c r="B36" s="26">
        <f t="shared" si="9"/>
        <v>32</v>
      </c>
      <c r="C36" s="47">
        <f>IF($E$9="H",+(VLOOKUP(B36,'CSO2001'!_xlnm.Print_Area,11)-VLOOKUP(B36+$E$8,'CSO2001'!_xlnm.Print_Area,11))/(VLOOKUP(B36,'CSO2001'!_xlnm.Print_Area,9)-VLOOKUP(B36+$E$8,'CSO2001'!_xlnm.Print_Area,9))*$E$7,+(VLOOKUP(B36-3,'CSO2001'!_xlnm.Print_Area,11)-VLOOKUP(B36-3+$E$8,'CSO2001'!_xlnm.Print_Area,11))/(VLOOKUP(B36-3,'CSO2001'!_xlnm.Print_Area,9)-VLOOKUP(B36-3+$E$8,'CSO2001'!_xlnm.Print_Area,9))*$E$7)*(1+$E$10)</f>
        <v>3.8803917763996516</v>
      </c>
      <c r="D36" s="48">
        <f t="shared" si="10"/>
        <v>7.7607835527993032</v>
      </c>
      <c r="E36" s="48">
        <f t="shared" si="11"/>
        <v>8.3040384014952551</v>
      </c>
      <c r="F36" s="48">
        <f t="shared" si="12"/>
        <v>8.2264305659672612</v>
      </c>
      <c r="G36" s="48">
        <f t="shared" si="13"/>
        <v>8.0712148949112752</v>
      </c>
      <c r="H36" s="48">
        <f t="shared" si="14"/>
        <v>7.7607835527993032</v>
      </c>
      <c r="I36" s="48">
        <f t="shared" si="15"/>
        <v>0.69200320012460459</v>
      </c>
      <c r="J36" s="48">
        <f t="shared" si="16"/>
        <v>2.0566076414918153</v>
      </c>
      <c r="K36" s="48">
        <f t="shared" si="17"/>
        <v>4.0356074474556376</v>
      </c>
      <c r="L36" s="48">
        <f t="shared" si="18"/>
        <v>7.7607835527993032</v>
      </c>
      <c r="M36" s="35"/>
      <c r="N36" s="35"/>
      <c r="O36" s="35"/>
      <c r="P36" s="35"/>
      <c r="Q36" s="35"/>
      <c r="R36" s="35"/>
    </row>
    <row r="37" spans="1:18" x14ac:dyDescent="0.2">
      <c r="B37" s="26">
        <f t="shared" si="9"/>
        <v>33</v>
      </c>
      <c r="C37" s="47">
        <f>IF($E$9="H",+(VLOOKUP(B37,'CSO2001'!_xlnm.Print_Area,11)-VLOOKUP(B37+$E$8,'CSO2001'!_xlnm.Print_Area,11))/(VLOOKUP(B37,'CSO2001'!_xlnm.Print_Area,9)-VLOOKUP(B37+$E$8,'CSO2001'!_xlnm.Print_Area,9))*$E$7,+(VLOOKUP(B37-3,'CSO2001'!_xlnm.Print_Area,11)-VLOOKUP(B37-3+$E$8,'CSO2001'!_xlnm.Print_Area,11))/(VLOOKUP(B37-3,'CSO2001'!_xlnm.Print_Area,9)-VLOOKUP(B37-3+$E$8,'CSO2001'!_xlnm.Print_Area,9))*$E$7)*(1+$E$10)</f>
        <v>4.2088864350461703</v>
      </c>
      <c r="D37" s="48">
        <f t="shared" si="10"/>
        <v>8.4177728700923407</v>
      </c>
      <c r="E37" s="48">
        <f t="shared" si="11"/>
        <v>9.007016970998805</v>
      </c>
      <c r="F37" s="48">
        <f t="shared" si="12"/>
        <v>8.9228392422978811</v>
      </c>
      <c r="G37" s="48">
        <f t="shared" si="13"/>
        <v>8.7544837848960348</v>
      </c>
      <c r="H37" s="48">
        <f t="shared" si="14"/>
        <v>8.4177728700923407</v>
      </c>
      <c r="I37" s="48">
        <f t="shared" si="15"/>
        <v>0.75058474758323379</v>
      </c>
      <c r="J37" s="48">
        <f t="shared" si="16"/>
        <v>2.2307098105744703</v>
      </c>
      <c r="K37" s="48">
        <f t="shared" si="17"/>
        <v>4.3772418924480174</v>
      </c>
      <c r="L37" s="48">
        <f t="shared" si="18"/>
        <v>8.4177728700923407</v>
      </c>
      <c r="M37" s="35"/>
      <c r="N37" s="35"/>
      <c r="O37" s="35"/>
      <c r="P37" s="35"/>
      <c r="Q37" s="35"/>
      <c r="R37" s="35"/>
    </row>
    <row r="38" spans="1:18" x14ac:dyDescent="0.2">
      <c r="B38" s="26">
        <f t="shared" si="9"/>
        <v>34</v>
      </c>
      <c r="C38" s="47">
        <f>IF($E$9="H",+(VLOOKUP(B38,'CSO2001'!_xlnm.Print_Area,11)-VLOOKUP(B38+$E$8,'CSO2001'!_xlnm.Print_Area,11))/(VLOOKUP(B38,'CSO2001'!_xlnm.Print_Area,9)-VLOOKUP(B38+$E$8,'CSO2001'!_xlnm.Print_Area,9))*$E$7,+(VLOOKUP(B38-3,'CSO2001'!_xlnm.Print_Area,11)-VLOOKUP(B38-3+$E$8,'CSO2001'!_xlnm.Print_Area,11))/(VLOOKUP(B38-3,'CSO2001'!_xlnm.Print_Area,9)-VLOOKUP(B38-3+$E$8,'CSO2001'!_xlnm.Print_Area,9))*$E$7)*(1+$E$10)</f>
        <v>4.570150432358365</v>
      </c>
      <c r="D38" s="48">
        <f t="shared" si="10"/>
        <v>9.1403008647167301</v>
      </c>
      <c r="E38" s="48">
        <f t="shared" si="11"/>
        <v>9.7801219252469025</v>
      </c>
      <c r="F38" s="48">
        <f t="shared" si="12"/>
        <v>9.6887189165997345</v>
      </c>
      <c r="G38" s="48">
        <f t="shared" si="13"/>
        <v>9.5059128993054003</v>
      </c>
      <c r="H38" s="48">
        <f t="shared" si="14"/>
        <v>9.1403008647167301</v>
      </c>
      <c r="I38" s="48">
        <f t="shared" si="15"/>
        <v>0.81501016043724184</v>
      </c>
      <c r="J38" s="48">
        <f t="shared" si="16"/>
        <v>2.4221797291499336</v>
      </c>
      <c r="K38" s="48">
        <f t="shared" si="17"/>
        <v>4.7529564496527001</v>
      </c>
      <c r="L38" s="48">
        <f t="shared" si="18"/>
        <v>9.1403008647167301</v>
      </c>
      <c r="M38" s="35"/>
      <c r="N38" s="35"/>
      <c r="O38" s="35"/>
      <c r="P38" s="35"/>
      <c r="Q38" s="35"/>
      <c r="R38" s="35"/>
    </row>
    <row r="39" spans="1:18" x14ac:dyDescent="0.2">
      <c r="B39" s="26">
        <f t="shared" si="9"/>
        <v>35</v>
      </c>
      <c r="C39" s="47">
        <f>IF($E$9="H",+(VLOOKUP(B39,'CSO2001'!_xlnm.Print_Area,11)-VLOOKUP(B39+$E$8,'CSO2001'!_xlnm.Print_Area,11))/(VLOOKUP(B39,'CSO2001'!_xlnm.Print_Area,9)-VLOOKUP(B39+$E$8,'CSO2001'!_xlnm.Print_Area,9))*$E$7,+(VLOOKUP(B39-3,'CSO2001'!_xlnm.Print_Area,11)-VLOOKUP(B39-3+$E$8,'CSO2001'!_xlnm.Print_Area,11))/(VLOOKUP(B39-3,'CSO2001'!_xlnm.Print_Area,9)-VLOOKUP(B39-3+$E$8,'CSO2001'!_xlnm.Print_Area,9))*$E$7)*(1+$E$10)</f>
        <v>4.9676292054443563</v>
      </c>
      <c r="D39" s="48">
        <f t="shared" si="10"/>
        <v>9.9352584108887125</v>
      </c>
      <c r="E39" s="48">
        <f>+$D39*(1+$E$12)</f>
        <v>10.630726499650923</v>
      </c>
      <c r="F39" s="48">
        <f>+$D39*(1+$F$12)</f>
        <v>10.531373915542035</v>
      </c>
      <c r="G39" s="48">
        <f>+$D39*(1+$G$12)</f>
        <v>10.332668747324261</v>
      </c>
      <c r="H39" s="48">
        <f>+$D39*(1+$H$12)</f>
        <v>9.9352584108887125</v>
      </c>
      <c r="I39" s="48">
        <f>+E39/12</f>
        <v>0.88589387497091021</v>
      </c>
      <c r="J39" s="48">
        <f>+F39/4</f>
        <v>2.6328434788855088</v>
      </c>
      <c r="K39" s="48">
        <f>+G39/2</f>
        <v>5.1663343736621306</v>
      </c>
      <c r="L39" s="48">
        <f>+H39</f>
        <v>9.9352584108887125</v>
      </c>
      <c r="M39" s="35"/>
      <c r="N39" s="35"/>
      <c r="O39" s="35"/>
      <c r="P39" s="35"/>
      <c r="Q39" s="35"/>
      <c r="R39" s="35"/>
    </row>
    <row r="40" spans="1:18" x14ac:dyDescent="0.2">
      <c r="B40" s="26">
        <f t="shared" si="9"/>
        <v>36</v>
      </c>
      <c r="C40" s="47">
        <f>IF($E$9="H",+(VLOOKUP(B40,'CSO2001'!_xlnm.Print_Area,11)-VLOOKUP(B40+$E$8,'CSO2001'!_xlnm.Print_Area,11))/(VLOOKUP(B40,'CSO2001'!_xlnm.Print_Area,9)-VLOOKUP(B40+$E$8,'CSO2001'!_xlnm.Print_Area,9))*$E$7,+(VLOOKUP(B40-3,'CSO2001'!_xlnm.Print_Area,11)-VLOOKUP(B40-3+$E$8,'CSO2001'!_xlnm.Print_Area,11))/(VLOOKUP(B40-3,'CSO2001'!_xlnm.Print_Area,9)-VLOOKUP(B40-3+$E$8,'CSO2001'!_xlnm.Print_Area,9))*$E$7)*(1+$E$10)</f>
        <v>5.4080273414034457</v>
      </c>
      <c r="D40" s="48">
        <f t="shared" si="10"/>
        <v>10.816054682806891</v>
      </c>
      <c r="E40" s="48">
        <f t="shared" si="11"/>
        <v>11.573178510603375</v>
      </c>
      <c r="F40" s="48">
        <f t="shared" si="12"/>
        <v>11.465017963775306</v>
      </c>
      <c r="G40" s="48">
        <f t="shared" si="13"/>
        <v>11.248696870119167</v>
      </c>
      <c r="H40" s="48">
        <f t="shared" si="14"/>
        <v>10.816054682806891</v>
      </c>
      <c r="I40" s="48">
        <f t="shared" si="15"/>
        <v>0.9644315425502813</v>
      </c>
      <c r="J40" s="48">
        <f t="shared" si="16"/>
        <v>2.8662544909438266</v>
      </c>
      <c r="K40" s="48">
        <f t="shared" si="17"/>
        <v>5.6243484350595834</v>
      </c>
      <c r="L40" s="48">
        <f t="shared" si="18"/>
        <v>10.816054682806891</v>
      </c>
      <c r="M40" s="35"/>
      <c r="N40" s="35"/>
      <c r="O40" s="35"/>
      <c r="P40" s="35"/>
      <c r="Q40" s="35"/>
      <c r="R40" s="35"/>
    </row>
    <row r="41" spans="1:18" x14ac:dyDescent="0.2">
      <c r="B41" s="26">
        <f t="shared" si="9"/>
        <v>37</v>
      </c>
      <c r="C41" s="47">
        <f>IF($E$9="H",+(VLOOKUP(B41,'CSO2001'!_xlnm.Print_Area,11)-VLOOKUP(B41+$E$8,'CSO2001'!_xlnm.Print_Area,11))/(VLOOKUP(B41,'CSO2001'!_xlnm.Print_Area,9)-VLOOKUP(B41+$E$8,'CSO2001'!_xlnm.Print_Area,9))*$E$7,+(VLOOKUP(B41-3,'CSO2001'!_xlnm.Print_Area,11)-VLOOKUP(B41-3+$E$8,'CSO2001'!_xlnm.Print_Area,11))/(VLOOKUP(B41-3,'CSO2001'!_xlnm.Print_Area,9)-VLOOKUP(B41-3+$E$8,'CSO2001'!_xlnm.Print_Area,9))*$E$7)*(1+$E$10)</f>
        <v>5.896644090748925</v>
      </c>
      <c r="D41" s="48">
        <f t="shared" si="10"/>
        <v>11.79328818149785</v>
      </c>
      <c r="E41" s="48">
        <f t="shared" si="11"/>
        <v>12.6188183542027</v>
      </c>
      <c r="F41" s="48">
        <f t="shared" si="12"/>
        <v>12.500885472387722</v>
      </c>
      <c r="G41" s="48">
        <f t="shared" si="13"/>
        <v>12.265019708757764</v>
      </c>
      <c r="H41" s="48">
        <f t="shared" si="14"/>
        <v>11.79328818149785</v>
      </c>
      <c r="I41" s="48">
        <f t="shared" si="15"/>
        <v>1.0515681961835583</v>
      </c>
      <c r="J41" s="48">
        <f t="shared" si="16"/>
        <v>3.1252213680969305</v>
      </c>
      <c r="K41" s="48">
        <f t="shared" si="17"/>
        <v>6.1325098543788821</v>
      </c>
      <c r="L41" s="48">
        <f t="shared" si="18"/>
        <v>11.79328818149785</v>
      </c>
      <c r="M41" s="35"/>
      <c r="N41" s="35"/>
      <c r="O41" s="35"/>
      <c r="P41" s="35"/>
      <c r="Q41" s="35"/>
      <c r="R41" s="35"/>
    </row>
    <row r="42" spans="1:18" x14ac:dyDescent="0.2">
      <c r="B42" s="26">
        <f t="shared" si="9"/>
        <v>38</v>
      </c>
      <c r="C42" s="47">
        <f>IF($E$9="H",+(VLOOKUP(B42,'CSO2001'!_xlnm.Print_Area,11)-VLOOKUP(B42+$E$8,'CSO2001'!_xlnm.Print_Area,11))/(VLOOKUP(B42,'CSO2001'!_xlnm.Print_Area,9)-VLOOKUP(B42+$E$8,'CSO2001'!_xlnm.Print_Area,9))*$E$7,+(VLOOKUP(B42-3,'CSO2001'!_xlnm.Print_Area,11)-VLOOKUP(B42-3+$E$8,'CSO2001'!_xlnm.Print_Area,11))/(VLOOKUP(B42-3,'CSO2001'!_xlnm.Print_Area,9)-VLOOKUP(B42-3+$E$8,'CSO2001'!_xlnm.Print_Area,9))*$E$7)*(1+$E$10)</f>
        <v>6.4440464380551425</v>
      </c>
      <c r="D42" s="48">
        <f t="shared" si="10"/>
        <v>12.888092876110285</v>
      </c>
      <c r="E42" s="48">
        <f t="shared" si="11"/>
        <v>13.790259377438005</v>
      </c>
      <c r="F42" s="48">
        <f t="shared" si="12"/>
        <v>13.661378448676903</v>
      </c>
      <c r="G42" s="48">
        <f t="shared" si="13"/>
        <v>13.403616591154696</v>
      </c>
      <c r="H42" s="48">
        <f t="shared" si="14"/>
        <v>12.888092876110285</v>
      </c>
      <c r="I42" s="48">
        <f t="shared" si="15"/>
        <v>1.1491882814531671</v>
      </c>
      <c r="J42" s="48">
        <f t="shared" si="16"/>
        <v>3.4153446121692257</v>
      </c>
      <c r="K42" s="48">
        <f t="shared" si="17"/>
        <v>6.7018082955773481</v>
      </c>
      <c r="L42" s="48">
        <f t="shared" si="18"/>
        <v>12.888092876110285</v>
      </c>
      <c r="M42" s="35"/>
      <c r="N42" s="35"/>
      <c r="O42" s="35"/>
      <c r="P42" s="35"/>
      <c r="Q42" s="35"/>
      <c r="R42" s="35"/>
    </row>
    <row r="43" spans="1:18" x14ac:dyDescent="0.2">
      <c r="B43" s="26">
        <f t="shared" si="9"/>
        <v>39</v>
      </c>
      <c r="C43" s="47">
        <f>IF($E$9="H",+(VLOOKUP(B43,'CSO2001'!_xlnm.Print_Area,11)-VLOOKUP(B43+$E$8,'CSO2001'!_xlnm.Print_Area,11))/(VLOOKUP(B43,'CSO2001'!_xlnm.Print_Area,9)-VLOOKUP(B43+$E$8,'CSO2001'!_xlnm.Print_Area,9))*$E$7,+(VLOOKUP(B43-3,'CSO2001'!_xlnm.Print_Area,11)-VLOOKUP(B43-3+$E$8,'CSO2001'!_xlnm.Print_Area,11))/(VLOOKUP(B43-3,'CSO2001'!_xlnm.Print_Area,9)-VLOOKUP(B43-3+$E$8,'CSO2001'!_xlnm.Print_Area,9))*$E$7)*(1+$E$10)</f>
        <v>7.0531280062622255</v>
      </c>
      <c r="D43" s="48">
        <f t="shared" si="10"/>
        <v>14.106256012524451</v>
      </c>
      <c r="E43" s="48">
        <f t="shared" si="11"/>
        <v>15.093693933401163</v>
      </c>
      <c r="F43" s="48">
        <f t="shared" si="12"/>
        <v>14.952631373275919</v>
      </c>
      <c r="G43" s="48">
        <f t="shared" si="13"/>
        <v>14.67050625302543</v>
      </c>
      <c r="H43" s="48">
        <f t="shared" si="14"/>
        <v>14.106256012524451</v>
      </c>
      <c r="I43" s="48">
        <f t="shared" si="15"/>
        <v>1.2578078277834301</v>
      </c>
      <c r="J43" s="48">
        <f t="shared" si="16"/>
        <v>3.7381578433189797</v>
      </c>
      <c r="K43" s="48">
        <f t="shared" si="17"/>
        <v>7.3352531265127148</v>
      </c>
      <c r="L43" s="48">
        <f t="shared" si="18"/>
        <v>14.106256012524451</v>
      </c>
      <c r="M43" s="35"/>
      <c r="N43" s="35"/>
      <c r="O43" s="35"/>
      <c r="P43" s="35"/>
      <c r="Q43" s="35"/>
      <c r="R43" s="35"/>
    </row>
    <row r="44" spans="1:18" x14ac:dyDescent="0.2">
      <c r="B44" s="77">
        <f t="shared" si="9"/>
        <v>40</v>
      </c>
      <c r="C44" s="78">
        <f>IF($E$9="H",+(VLOOKUP(B44,'CSO2001'!_xlnm.Print_Area,11)-VLOOKUP(B44+$E$8,'CSO2001'!_xlnm.Print_Area,11))/(VLOOKUP(B44,'CSO2001'!_xlnm.Print_Area,9)-VLOOKUP(B44+$E$8,'CSO2001'!_xlnm.Print_Area,9))*$E$7,+(VLOOKUP(B44-3,'CSO2001'!_xlnm.Print_Area,11)-VLOOKUP(B44-3+$E$8,'CSO2001'!_xlnm.Print_Area,11))/(VLOOKUP(B44-3,'CSO2001'!_xlnm.Print_Area,9)-VLOOKUP(B44-3+$E$8,'CSO2001'!_xlnm.Print_Area,9))*$E$7)*(1+$E$10)</f>
        <v>7.7274095842747474</v>
      </c>
      <c r="D44" s="48">
        <f t="shared" si="10"/>
        <v>15.454819168549495</v>
      </c>
      <c r="E44" s="48">
        <f>+$D44*(1+$E$12)</f>
        <v>16.53665651034796</v>
      </c>
      <c r="F44" s="48">
        <f>+$D44*(1+$F$12)</f>
        <v>16.382108318662464</v>
      </c>
      <c r="G44" s="48">
        <f>+$D44*(1+$G$12)</f>
        <v>16.073011935291476</v>
      </c>
      <c r="H44" s="48">
        <f>+$D44*(1+$H$12)</f>
        <v>15.454819168549495</v>
      </c>
      <c r="I44" s="48">
        <f>+E44/12</f>
        <v>1.3780547091956634</v>
      </c>
      <c r="J44" s="48">
        <f>+F44/4</f>
        <v>4.095527079665616</v>
      </c>
      <c r="K44" s="48">
        <f>+G44/2</f>
        <v>8.0365059676457378</v>
      </c>
      <c r="L44" s="48">
        <f>+H44</f>
        <v>15.454819168549495</v>
      </c>
      <c r="M44" s="35"/>
      <c r="N44" s="35"/>
      <c r="O44" s="35"/>
      <c r="P44" s="35"/>
      <c r="Q44" s="35"/>
      <c r="R44" s="35"/>
    </row>
    <row r="45" spans="1:18" x14ac:dyDescent="0.2">
      <c r="B45" s="26">
        <f t="shared" si="9"/>
        <v>41</v>
      </c>
      <c r="C45" s="47">
        <f>IF($E$9="H",+(VLOOKUP(B45,'CSO2001'!_xlnm.Print_Area,11)-VLOOKUP(B45+$E$8,'CSO2001'!_xlnm.Print_Area,11))/(VLOOKUP(B45,'CSO2001'!_xlnm.Print_Area,9)-VLOOKUP(B45+$E$8,'CSO2001'!_xlnm.Print_Area,9))*$E$7,+(VLOOKUP(B45-3,'CSO2001'!_xlnm.Print_Area,11)-VLOOKUP(B45-3+$E$8,'CSO2001'!_xlnm.Print_Area,11))/(VLOOKUP(B45-3,'CSO2001'!_xlnm.Print_Area,9)-VLOOKUP(B45-3+$E$8,'CSO2001'!_xlnm.Print_Area,9))*$E$7)*(1+$E$10)</f>
        <v>8.4698371819733129</v>
      </c>
      <c r="D45" s="48">
        <f t="shared" si="10"/>
        <v>16.939674363946626</v>
      </c>
      <c r="E45" s="48">
        <f t="shared" si="11"/>
        <v>18.125451569422889</v>
      </c>
      <c r="F45" s="48">
        <f t="shared" si="12"/>
        <v>17.956054825783426</v>
      </c>
      <c r="G45" s="48">
        <f t="shared" si="13"/>
        <v>17.617261338504491</v>
      </c>
      <c r="H45" s="48">
        <f t="shared" si="14"/>
        <v>16.939674363946626</v>
      </c>
      <c r="I45" s="48">
        <f t="shared" si="15"/>
        <v>1.5104542974519075</v>
      </c>
      <c r="J45" s="48">
        <f t="shared" si="16"/>
        <v>4.4890137064458564</v>
      </c>
      <c r="K45" s="48">
        <f t="shared" si="17"/>
        <v>8.8086306692522456</v>
      </c>
      <c r="L45" s="48">
        <f t="shared" si="18"/>
        <v>16.939674363946626</v>
      </c>
      <c r="M45" s="35"/>
      <c r="N45" s="35"/>
      <c r="O45" s="35"/>
      <c r="P45" s="35"/>
      <c r="Q45" s="35"/>
      <c r="R45" s="35"/>
    </row>
    <row r="46" spans="1:18" x14ac:dyDescent="0.2">
      <c r="B46" s="26">
        <f t="shared" si="9"/>
        <v>42</v>
      </c>
      <c r="C46" s="47">
        <f>IF($E$9="H",+(VLOOKUP(B46,'CSO2001'!_xlnm.Print_Area,11)-VLOOKUP(B46+$E$8,'CSO2001'!_xlnm.Print_Area,11))/(VLOOKUP(B46,'CSO2001'!_xlnm.Print_Area,9)-VLOOKUP(B46+$E$8,'CSO2001'!_xlnm.Print_Area,9))*$E$7,+(VLOOKUP(B46-3,'CSO2001'!_xlnm.Print_Area,11)-VLOOKUP(B46-3+$E$8,'CSO2001'!_xlnm.Print_Area,11))/(VLOOKUP(B46-3,'CSO2001'!_xlnm.Print_Area,9)-VLOOKUP(B46-3+$E$8,'CSO2001'!_xlnm.Print_Area,9))*$E$7)*(1+$E$10)</f>
        <v>9.2789579088194838</v>
      </c>
      <c r="D46" s="48">
        <f t="shared" si="10"/>
        <v>18.557915817638968</v>
      </c>
      <c r="E46" s="48">
        <f t="shared" si="11"/>
        <v>19.856969924873695</v>
      </c>
      <c r="F46" s="48">
        <f t="shared" si="12"/>
        <v>19.671390766697307</v>
      </c>
      <c r="G46" s="48">
        <f t="shared" si="13"/>
        <v>19.300232450344527</v>
      </c>
      <c r="H46" s="48">
        <f t="shared" si="14"/>
        <v>18.557915817638968</v>
      </c>
      <c r="I46" s="48">
        <f t="shared" si="15"/>
        <v>1.6547474937394746</v>
      </c>
      <c r="J46" s="48">
        <f t="shared" si="16"/>
        <v>4.9178476916743268</v>
      </c>
      <c r="K46" s="48">
        <f t="shared" si="17"/>
        <v>9.6501162251722636</v>
      </c>
      <c r="L46" s="48">
        <f t="shared" si="18"/>
        <v>18.557915817638968</v>
      </c>
      <c r="M46" s="35"/>
      <c r="N46" s="35"/>
      <c r="O46" s="35"/>
      <c r="P46" s="35"/>
      <c r="Q46" s="35"/>
      <c r="R46" s="35"/>
    </row>
    <row r="47" spans="1:18" x14ac:dyDescent="0.2">
      <c r="B47" s="26">
        <f t="shared" si="9"/>
        <v>43</v>
      </c>
      <c r="C47" s="47">
        <f>IF($E$9="H",+(VLOOKUP(B47,'CSO2001'!_xlnm.Print_Area,11)-VLOOKUP(B47+$E$8,'CSO2001'!_xlnm.Print_Area,11))/(VLOOKUP(B47,'CSO2001'!_xlnm.Print_Area,9)-VLOOKUP(B47+$E$8,'CSO2001'!_xlnm.Print_Area,9))*$E$7,+(VLOOKUP(B47-3,'CSO2001'!_xlnm.Print_Area,11)-VLOOKUP(B47-3+$E$8,'CSO2001'!_xlnm.Print_Area,11))/(VLOOKUP(B47-3,'CSO2001'!_xlnm.Print_Area,9)-VLOOKUP(B47-3+$E$8,'CSO2001'!_xlnm.Print_Area,9))*$E$7)*(1+$E$10)</f>
        <v>10.15296084643952</v>
      </c>
      <c r="D47" s="48">
        <f t="shared" si="10"/>
        <v>20.305921692879039</v>
      </c>
      <c r="E47" s="48">
        <f t="shared" si="11"/>
        <v>21.727336211380575</v>
      </c>
      <c r="F47" s="48">
        <f t="shared" si="12"/>
        <v>21.524276994451782</v>
      </c>
      <c r="G47" s="48">
        <f t="shared" si="13"/>
        <v>21.1181585605942</v>
      </c>
      <c r="H47" s="48">
        <f t="shared" si="14"/>
        <v>20.305921692879039</v>
      </c>
      <c r="I47" s="48">
        <f t="shared" si="15"/>
        <v>1.8106113509483812</v>
      </c>
      <c r="J47" s="48">
        <f t="shared" si="16"/>
        <v>5.3810692486129454</v>
      </c>
      <c r="K47" s="48">
        <f t="shared" si="17"/>
        <v>10.5590792802971</v>
      </c>
      <c r="L47" s="48">
        <f t="shared" si="18"/>
        <v>20.305921692879039</v>
      </c>
      <c r="M47" s="35"/>
      <c r="N47" s="35"/>
      <c r="O47" s="35"/>
      <c r="P47" s="35"/>
      <c r="Q47" s="35"/>
      <c r="R47" s="35"/>
    </row>
    <row r="48" spans="1:18" x14ac:dyDescent="0.2">
      <c r="B48" s="26">
        <f t="shared" si="9"/>
        <v>44</v>
      </c>
      <c r="C48" s="47">
        <f>IF($E$9="H",+(VLOOKUP(B48,'CSO2001'!_xlnm.Print_Area,11)-VLOOKUP(B48+$E$8,'CSO2001'!_xlnm.Print_Area,11))/(VLOOKUP(B48,'CSO2001'!_xlnm.Print_Area,9)-VLOOKUP(B48+$E$8,'CSO2001'!_xlnm.Print_Area,9))*$E$7,+(VLOOKUP(B48-3,'CSO2001'!_xlnm.Print_Area,11)-VLOOKUP(B48-3+$E$8,'CSO2001'!_xlnm.Print_Area,11))/(VLOOKUP(B48-3,'CSO2001'!_xlnm.Print_Area,9)-VLOOKUP(B48-3+$E$8,'CSO2001'!_xlnm.Print_Area,9))*$E$7)*(1+$E$10)</f>
        <v>11.095768799059382</v>
      </c>
      <c r="D48" s="48">
        <f t="shared" si="10"/>
        <v>22.191537598118764</v>
      </c>
      <c r="E48" s="48">
        <f t="shared" si="11"/>
        <v>23.744945229987078</v>
      </c>
      <c r="F48" s="48">
        <f t="shared" si="12"/>
        <v>23.523029854005891</v>
      </c>
      <c r="G48" s="48">
        <f t="shared" si="13"/>
        <v>23.079199102043514</v>
      </c>
      <c r="H48" s="48">
        <f t="shared" si="14"/>
        <v>22.191537598118764</v>
      </c>
      <c r="I48" s="48">
        <f t="shared" si="15"/>
        <v>1.9787454358322565</v>
      </c>
      <c r="J48" s="48">
        <f t="shared" si="16"/>
        <v>5.8807574635014728</v>
      </c>
      <c r="K48" s="48">
        <f t="shared" si="17"/>
        <v>11.539599551021757</v>
      </c>
      <c r="L48" s="48">
        <f t="shared" si="18"/>
        <v>22.191537598118764</v>
      </c>
      <c r="M48" s="35"/>
      <c r="N48" s="35"/>
      <c r="O48" s="35"/>
      <c r="P48" s="35"/>
      <c r="Q48" s="35"/>
      <c r="R48" s="35"/>
    </row>
    <row r="49" spans="2:18" x14ac:dyDescent="0.2">
      <c r="B49" s="26">
        <f t="shared" si="9"/>
        <v>45</v>
      </c>
      <c r="C49" s="47">
        <f>IF($E$9="H",+(VLOOKUP(B49,'CSO2001'!_xlnm.Print_Area,11)-VLOOKUP(B49+$E$8,'CSO2001'!_xlnm.Print_Area,11))/(VLOOKUP(B49,'CSO2001'!_xlnm.Print_Area,9)-VLOOKUP(B49+$E$8,'CSO2001'!_xlnm.Print_Area,9))*$E$7,+(VLOOKUP(B49-3,'CSO2001'!_xlnm.Print_Area,11)-VLOOKUP(B49-3+$E$8,'CSO2001'!_xlnm.Print_Area,11))/(VLOOKUP(B49-3,'CSO2001'!_xlnm.Print_Area,9)-VLOOKUP(B49-3+$E$8,'CSO2001'!_xlnm.Print_Area,9))*$E$7)*(1+$E$10)</f>
        <v>12.104638026336545</v>
      </c>
      <c r="D49" s="48">
        <f t="shared" si="10"/>
        <v>24.20927605267309</v>
      </c>
      <c r="E49" s="48">
        <f>+$D49*(1+$E$12)</f>
        <v>25.903925376360206</v>
      </c>
      <c r="F49" s="48">
        <f>+$D49*(1+$F$12)</f>
        <v>25.661832615833475</v>
      </c>
      <c r="G49" s="48">
        <f>+$D49*(1+$G$12)</f>
        <v>25.177647094780014</v>
      </c>
      <c r="H49" s="48">
        <f>+$D49*(1+$H$12)</f>
        <v>24.20927605267309</v>
      </c>
      <c r="I49" s="48">
        <f>+E49/12</f>
        <v>2.1586604480300173</v>
      </c>
      <c r="J49" s="48">
        <f>+F49/4</f>
        <v>6.4154581539583688</v>
      </c>
      <c r="K49" s="48">
        <f>+G49/2</f>
        <v>12.588823547390007</v>
      </c>
      <c r="L49" s="48">
        <f>+H49</f>
        <v>24.20927605267309</v>
      </c>
      <c r="M49" s="35"/>
      <c r="N49" s="35"/>
      <c r="O49" s="35"/>
      <c r="P49" s="35"/>
      <c r="Q49" s="35"/>
      <c r="R49" s="35"/>
    </row>
    <row r="50" spans="2:18" x14ac:dyDescent="0.2">
      <c r="B50" s="26">
        <f t="shared" si="9"/>
        <v>46</v>
      </c>
      <c r="C50" s="47">
        <f>IF($E$9="H",+(VLOOKUP(B50,'CSO2001'!_xlnm.Print_Area,11)-VLOOKUP(B50+$E$8,'CSO2001'!_xlnm.Print_Area,11))/(VLOOKUP(B50,'CSO2001'!_xlnm.Print_Area,9)-VLOOKUP(B50+$E$8,'CSO2001'!_xlnm.Print_Area,9))*$E$7,+(VLOOKUP(B50-3,'CSO2001'!_xlnm.Print_Area,11)-VLOOKUP(B50-3+$E$8,'CSO2001'!_xlnm.Print_Area,11))/(VLOOKUP(B50-3,'CSO2001'!_xlnm.Print_Area,9)-VLOOKUP(B50-3+$E$8,'CSO2001'!_xlnm.Print_Area,9))*$E$7)*(1+$E$10)</f>
        <v>13.189630969426492</v>
      </c>
      <c r="D50" s="48">
        <f t="shared" si="10"/>
        <v>26.379261938852984</v>
      </c>
      <c r="E50" s="48">
        <f t="shared" si="11"/>
        <v>28.225810274572694</v>
      </c>
      <c r="F50" s="48">
        <f t="shared" si="12"/>
        <v>27.962017655184166</v>
      </c>
      <c r="G50" s="48">
        <f t="shared" si="13"/>
        <v>27.434432416407105</v>
      </c>
      <c r="H50" s="48">
        <f t="shared" si="14"/>
        <v>26.379261938852984</v>
      </c>
      <c r="I50" s="48">
        <f t="shared" si="15"/>
        <v>2.3521508562143914</v>
      </c>
      <c r="J50" s="48">
        <f t="shared" si="16"/>
        <v>6.9905044137960415</v>
      </c>
      <c r="K50" s="48">
        <f t="shared" si="17"/>
        <v>13.717216208203553</v>
      </c>
      <c r="L50" s="48">
        <f t="shared" si="18"/>
        <v>26.379261938852984</v>
      </c>
      <c r="M50" s="35"/>
      <c r="N50" s="35"/>
      <c r="O50" s="35"/>
      <c r="P50" s="35"/>
      <c r="Q50" s="35"/>
      <c r="R50" s="35"/>
    </row>
    <row r="51" spans="2:18" x14ac:dyDescent="0.2">
      <c r="B51" s="26">
        <f t="shared" si="9"/>
        <v>47</v>
      </c>
      <c r="C51" s="47">
        <f>IF($E$9="H",+(VLOOKUP(B51,'CSO2001'!_xlnm.Print_Area,11)-VLOOKUP(B51+$E$8,'CSO2001'!_xlnm.Print_Area,11))/(VLOOKUP(B51,'CSO2001'!_xlnm.Print_Area,9)-VLOOKUP(B51+$E$8,'CSO2001'!_xlnm.Print_Area,9))*$E$7,+(VLOOKUP(B51-3,'CSO2001'!_xlnm.Print_Area,11)-VLOOKUP(B51-3+$E$8,'CSO2001'!_xlnm.Print_Area,11))/(VLOOKUP(B51-3,'CSO2001'!_xlnm.Print_Area,9)-VLOOKUP(B51-3+$E$8,'CSO2001'!_xlnm.Print_Area,9))*$E$7)*(1+$E$10)</f>
        <v>14.360458940674468</v>
      </c>
      <c r="D51" s="48">
        <f t="shared" si="10"/>
        <v>28.720917881348935</v>
      </c>
      <c r="E51" s="48">
        <f t="shared" si="11"/>
        <v>30.731382133043361</v>
      </c>
      <c r="F51" s="48">
        <f t="shared" si="12"/>
        <v>30.444172954229874</v>
      </c>
      <c r="G51" s="48">
        <f t="shared" si="13"/>
        <v>29.869754596602892</v>
      </c>
      <c r="H51" s="48">
        <f t="shared" si="14"/>
        <v>28.720917881348935</v>
      </c>
      <c r="I51" s="48">
        <f t="shared" si="15"/>
        <v>2.5609485110869468</v>
      </c>
      <c r="J51" s="48">
        <f t="shared" si="16"/>
        <v>7.6110432385574684</v>
      </c>
      <c r="K51" s="48">
        <f t="shared" si="17"/>
        <v>14.934877298301446</v>
      </c>
      <c r="L51" s="48">
        <f t="shared" si="18"/>
        <v>28.720917881348935</v>
      </c>
      <c r="M51" s="35"/>
      <c r="N51" s="35"/>
      <c r="O51" s="35"/>
      <c r="P51" s="35"/>
      <c r="Q51" s="35"/>
      <c r="R51" s="35"/>
    </row>
    <row r="52" spans="2:18" x14ac:dyDescent="0.2">
      <c r="B52" s="26">
        <f t="shared" si="9"/>
        <v>48</v>
      </c>
      <c r="C52" s="47">
        <f>IF($E$9="H",+(VLOOKUP(B52,'CSO2001'!_xlnm.Print_Area,11)-VLOOKUP(B52+$E$8,'CSO2001'!_xlnm.Print_Area,11))/(VLOOKUP(B52,'CSO2001'!_xlnm.Print_Area,9)-VLOOKUP(B52+$E$8,'CSO2001'!_xlnm.Print_Area,9))*$E$7,+(VLOOKUP(B52-3,'CSO2001'!_xlnm.Print_Area,11)-VLOOKUP(B52-3+$E$8,'CSO2001'!_xlnm.Print_Area,11))/(VLOOKUP(B52-3,'CSO2001'!_xlnm.Print_Area,9)-VLOOKUP(B52-3+$E$8,'CSO2001'!_xlnm.Print_Area,9))*$E$7)*(1+$E$10)</f>
        <v>15.640005959239225</v>
      </c>
      <c r="D52" s="48">
        <f t="shared" si="10"/>
        <v>31.280011918478451</v>
      </c>
      <c r="E52" s="48">
        <f t="shared" si="11"/>
        <v>33.469612752771944</v>
      </c>
      <c r="F52" s="48">
        <f t="shared" si="12"/>
        <v>33.156812633587158</v>
      </c>
      <c r="G52" s="48">
        <f t="shared" si="13"/>
        <v>32.531212395217587</v>
      </c>
      <c r="H52" s="48">
        <f t="shared" si="14"/>
        <v>31.280011918478451</v>
      </c>
      <c r="I52" s="48">
        <f t="shared" si="15"/>
        <v>2.7891343960643287</v>
      </c>
      <c r="J52" s="48">
        <f t="shared" si="16"/>
        <v>8.2892031583967896</v>
      </c>
      <c r="K52" s="48">
        <f t="shared" si="17"/>
        <v>16.265606197608793</v>
      </c>
      <c r="L52" s="48">
        <f t="shared" si="18"/>
        <v>31.280011918478451</v>
      </c>
      <c r="M52" s="35"/>
      <c r="N52" s="35"/>
      <c r="O52" s="35"/>
      <c r="P52" s="35"/>
      <c r="Q52" s="35"/>
      <c r="R52" s="35"/>
    </row>
    <row r="53" spans="2:18" x14ac:dyDescent="0.2">
      <c r="B53" s="26">
        <f t="shared" si="9"/>
        <v>49</v>
      </c>
      <c r="C53" s="47">
        <f>IF($E$9="H",+(VLOOKUP(B53,'CSO2001'!_xlnm.Print_Area,11)-VLOOKUP(B53+$E$8,'CSO2001'!_xlnm.Print_Area,11))/(VLOOKUP(B53,'CSO2001'!_xlnm.Print_Area,9)-VLOOKUP(B53+$E$8,'CSO2001'!_xlnm.Print_Area,9))*$E$7,+(VLOOKUP(B53-3,'CSO2001'!_xlnm.Print_Area,11)-VLOOKUP(B53-3+$E$8,'CSO2001'!_xlnm.Print_Area,11))/(VLOOKUP(B53-3,'CSO2001'!_xlnm.Print_Area,9)-VLOOKUP(B53-3+$E$8,'CSO2001'!_xlnm.Print_Area,9))*$E$7)*(1+$E$10)</f>
        <v>17.043285497865124</v>
      </c>
      <c r="D53" s="48">
        <f t="shared" si="10"/>
        <v>34.086570995730249</v>
      </c>
      <c r="E53" s="48">
        <f t="shared" si="11"/>
        <v>36.472630965431371</v>
      </c>
      <c r="F53" s="48">
        <f t="shared" si="12"/>
        <v>36.131765255474065</v>
      </c>
      <c r="G53" s="48">
        <f t="shared" si="13"/>
        <v>35.450033835559459</v>
      </c>
      <c r="H53" s="48">
        <f t="shared" si="14"/>
        <v>34.086570995730249</v>
      </c>
      <c r="I53" s="48">
        <f t="shared" si="15"/>
        <v>3.0393859137859476</v>
      </c>
      <c r="J53" s="48">
        <f t="shared" si="16"/>
        <v>9.0329413138685162</v>
      </c>
      <c r="K53" s="48">
        <f t="shared" si="17"/>
        <v>17.72501691777973</v>
      </c>
      <c r="L53" s="48">
        <f t="shared" si="18"/>
        <v>34.086570995730249</v>
      </c>
      <c r="M53" s="35"/>
      <c r="N53" s="35"/>
      <c r="O53" s="35"/>
      <c r="P53" s="35"/>
      <c r="Q53" s="35"/>
      <c r="R53" s="35"/>
    </row>
    <row r="54" spans="2:18" x14ac:dyDescent="0.2">
      <c r="B54" s="26">
        <f t="shared" si="9"/>
        <v>50</v>
      </c>
      <c r="C54" s="47">
        <f>IF($E$9="H",+(VLOOKUP(B54,'CSO2001'!_xlnm.Print_Area,11)-VLOOKUP(B54+$E$8,'CSO2001'!_xlnm.Print_Area,11))/(VLOOKUP(B54,'CSO2001'!_xlnm.Print_Area,9)-VLOOKUP(B54+$E$8,'CSO2001'!_xlnm.Print_Area,9))*$E$7,+(VLOOKUP(B54-3,'CSO2001'!_xlnm.Print_Area,11)-VLOOKUP(B54-3+$E$8,'CSO2001'!_xlnm.Print_Area,11))/(VLOOKUP(B54-3,'CSO2001'!_xlnm.Print_Area,9)-VLOOKUP(B54-3+$E$8,'CSO2001'!_xlnm.Print_Area,9))*$E$7)*(1+$E$10)</f>
        <v>18.572885272356462</v>
      </c>
      <c r="D54" s="48">
        <f t="shared" si="10"/>
        <v>37.145770544712924</v>
      </c>
      <c r="E54" s="48">
        <f>+$D54*(1+$E$12)</f>
        <v>39.745974482842833</v>
      </c>
      <c r="F54" s="48">
        <f>+$D54*(1+$F$12)</f>
        <v>39.374516777395705</v>
      </c>
      <c r="G54" s="48">
        <f>+$D54*(1+$G$12)</f>
        <v>38.631601366501442</v>
      </c>
      <c r="H54" s="48">
        <f>+$D54*(1+$H$12)</f>
        <v>37.145770544712924</v>
      </c>
      <c r="I54" s="48">
        <f>+E54/12</f>
        <v>3.3121645402369029</v>
      </c>
      <c r="J54" s="48">
        <f>+F54/4</f>
        <v>9.8436291943489262</v>
      </c>
      <c r="K54" s="48">
        <f>+G54/2</f>
        <v>19.315800683250721</v>
      </c>
      <c r="L54" s="48">
        <f>+H54</f>
        <v>37.145770544712924</v>
      </c>
      <c r="M54" s="35"/>
      <c r="N54" s="35"/>
      <c r="O54" s="35"/>
      <c r="P54" s="35"/>
      <c r="Q54" s="35"/>
      <c r="R54" s="35"/>
    </row>
    <row r="55" spans="2:18" x14ac:dyDescent="0.2">
      <c r="B55" s="26">
        <f t="shared" si="9"/>
        <v>51</v>
      </c>
      <c r="C55" s="47">
        <f>IF($E$9="H",+(VLOOKUP(B55,'CSO2001'!_xlnm.Print_Area,11)-VLOOKUP(B55+$E$8,'CSO2001'!_xlnm.Print_Area,11))/(VLOOKUP(B55,'CSO2001'!_xlnm.Print_Area,9)-VLOOKUP(B55+$E$8,'CSO2001'!_xlnm.Print_Area,9))*$E$7,+(VLOOKUP(B55-3,'CSO2001'!_xlnm.Print_Area,11)-VLOOKUP(B55-3+$E$8,'CSO2001'!_xlnm.Print_Area,11))/(VLOOKUP(B55-3,'CSO2001'!_xlnm.Print_Area,9)-VLOOKUP(B55-3+$E$8,'CSO2001'!_xlnm.Print_Area,9))*$E$7)*(1+$E$10)</f>
        <v>20.235011758606472</v>
      </c>
      <c r="D55" s="48">
        <f t="shared" si="10"/>
        <v>40.470023517212944</v>
      </c>
      <c r="E55" s="48">
        <f t="shared" si="11"/>
        <v>43.302925163417854</v>
      </c>
      <c r="F55" s="48">
        <f t="shared" si="12"/>
        <v>42.898224928245725</v>
      </c>
      <c r="G55" s="48">
        <f t="shared" si="13"/>
        <v>42.08882445790146</v>
      </c>
      <c r="H55" s="48">
        <f t="shared" si="14"/>
        <v>40.470023517212944</v>
      </c>
      <c r="I55" s="48">
        <f t="shared" si="15"/>
        <v>3.6085770969514877</v>
      </c>
      <c r="J55" s="48">
        <f t="shared" si="16"/>
        <v>10.724556232061431</v>
      </c>
      <c r="K55" s="48">
        <f t="shared" si="17"/>
        <v>21.04441222895073</v>
      </c>
      <c r="L55" s="48">
        <f t="shared" si="18"/>
        <v>40.470023517212944</v>
      </c>
      <c r="M55" s="35"/>
      <c r="N55" s="35"/>
      <c r="O55" s="35"/>
      <c r="P55" s="35"/>
      <c r="Q55" s="35"/>
      <c r="R55" s="35"/>
    </row>
    <row r="56" spans="2:18" x14ac:dyDescent="0.2">
      <c r="B56" s="26">
        <f t="shared" si="9"/>
        <v>52</v>
      </c>
      <c r="C56" s="47">
        <f>IF($E$9="H",+(VLOOKUP(B56,'CSO2001'!_xlnm.Print_Area,11)-VLOOKUP(B56+$E$8,'CSO2001'!_xlnm.Print_Area,11))/(VLOOKUP(B56,'CSO2001'!_xlnm.Print_Area,9)-VLOOKUP(B56+$E$8,'CSO2001'!_xlnm.Print_Area,9))*$E$7,+(VLOOKUP(B56-3,'CSO2001'!_xlnm.Print_Area,11)-VLOOKUP(B56-3+$E$8,'CSO2001'!_xlnm.Print_Area,11))/(VLOOKUP(B56-3,'CSO2001'!_xlnm.Print_Area,9)-VLOOKUP(B56-3+$E$8,'CSO2001'!_xlnm.Print_Area,9))*$E$7)*(1+$E$10)</f>
        <v>22.033284307622115</v>
      </c>
      <c r="D56" s="48">
        <f t="shared" si="10"/>
        <v>44.066568615244229</v>
      </c>
      <c r="E56" s="48">
        <f t="shared" si="11"/>
        <v>47.151228418311327</v>
      </c>
      <c r="F56" s="48">
        <f t="shared" si="12"/>
        <v>46.710562732158884</v>
      </c>
      <c r="G56" s="48">
        <f t="shared" si="13"/>
        <v>45.829231359853999</v>
      </c>
      <c r="H56" s="48">
        <f t="shared" si="14"/>
        <v>44.066568615244229</v>
      </c>
      <c r="I56" s="48">
        <f t="shared" si="15"/>
        <v>3.9292690348592774</v>
      </c>
      <c r="J56" s="48">
        <f t="shared" si="16"/>
        <v>11.677640683039721</v>
      </c>
      <c r="K56" s="48">
        <f t="shared" si="17"/>
        <v>22.914615679927</v>
      </c>
      <c r="L56" s="48">
        <f t="shared" si="18"/>
        <v>44.066568615244229</v>
      </c>
      <c r="M56" s="35"/>
      <c r="N56" s="35"/>
      <c r="O56" s="35"/>
      <c r="P56" s="35"/>
      <c r="Q56" s="35"/>
      <c r="R56" s="35"/>
    </row>
    <row r="57" spans="2:18" x14ac:dyDescent="0.2">
      <c r="B57" s="26">
        <f t="shared" si="9"/>
        <v>53</v>
      </c>
      <c r="C57" s="47">
        <f>IF($E$9="H",+(VLOOKUP(B57,'CSO2001'!_xlnm.Print_Area,11)-VLOOKUP(B57+$E$8,'CSO2001'!_xlnm.Print_Area,11))/(VLOOKUP(B57,'CSO2001'!_xlnm.Print_Area,9)-VLOOKUP(B57+$E$8,'CSO2001'!_xlnm.Print_Area,9))*$E$7,+(VLOOKUP(B57-3,'CSO2001'!_xlnm.Print_Area,11)-VLOOKUP(B57-3+$E$8,'CSO2001'!_xlnm.Print_Area,11))/(VLOOKUP(B57-3,'CSO2001'!_xlnm.Print_Area,9)-VLOOKUP(B57-3+$E$8,'CSO2001'!_xlnm.Print_Area,9))*$E$7)*(1+$E$10)</f>
        <v>23.973226356873536</v>
      </c>
      <c r="D57" s="48">
        <f t="shared" si="10"/>
        <v>47.946452713747071</v>
      </c>
      <c r="E57" s="48">
        <f t="shared" si="11"/>
        <v>51.30270440370937</v>
      </c>
      <c r="F57" s="48">
        <f t="shared" si="12"/>
        <v>50.823239876571897</v>
      </c>
      <c r="G57" s="48">
        <f t="shared" si="13"/>
        <v>49.864310822296957</v>
      </c>
      <c r="H57" s="48">
        <f t="shared" si="14"/>
        <v>47.946452713747071</v>
      </c>
      <c r="I57" s="48">
        <f t="shared" si="15"/>
        <v>4.2752253669757811</v>
      </c>
      <c r="J57" s="48">
        <f t="shared" si="16"/>
        <v>12.705809969142974</v>
      </c>
      <c r="K57" s="48">
        <f t="shared" si="17"/>
        <v>24.932155411148479</v>
      </c>
      <c r="L57" s="48">
        <f t="shared" si="18"/>
        <v>47.946452713747071</v>
      </c>
      <c r="M57" s="35"/>
      <c r="N57" s="35"/>
      <c r="O57" s="35"/>
      <c r="P57" s="35"/>
      <c r="Q57" s="35"/>
      <c r="R57" s="35"/>
    </row>
    <row r="58" spans="2:18" x14ac:dyDescent="0.2">
      <c r="B58" s="26">
        <f t="shared" si="9"/>
        <v>54</v>
      </c>
      <c r="C58" s="47">
        <f>IF($E$9="H",+(VLOOKUP(B58,'CSO2001'!_xlnm.Print_Area,11)-VLOOKUP(B58+$E$8,'CSO2001'!_xlnm.Print_Area,11))/(VLOOKUP(B58,'CSO2001'!_xlnm.Print_Area,9)-VLOOKUP(B58+$E$8,'CSO2001'!_xlnm.Print_Area,9))*$E$7,+(VLOOKUP(B58-3,'CSO2001'!_xlnm.Print_Area,11)-VLOOKUP(B58-3+$E$8,'CSO2001'!_xlnm.Print_Area,11))/(VLOOKUP(B58-3,'CSO2001'!_xlnm.Print_Area,9)-VLOOKUP(B58-3+$E$8,'CSO2001'!_xlnm.Print_Area,9))*$E$7)*(1+$E$10)</f>
        <v>26.067187753336775</v>
      </c>
      <c r="D58" s="48">
        <f t="shared" si="10"/>
        <v>52.13437550667355</v>
      </c>
      <c r="E58" s="48">
        <f t="shared" si="11"/>
        <v>55.783781792140701</v>
      </c>
      <c r="F58" s="48">
        <f t="shared" si="12"/>
        <v>55.262438037073963</v>
      </c>
      <c r="G58" s="48">
        <f t="shared" si="13"/>
        <v>54.219750526940494</v>
      </c>
      <c r="H58" s="48">
        <f t="shared" si="14"/>
        <v>52.13437550667355</v>
      </c>
      <c r="I58" s="48">
        <f t="shared" si="15"/>
        <v>4.648648482678392</v>
      </c>
      <c r="J58" s="48">
        <f t="shared" si="16"/>
        <v>13.815609509268491</v>
      </c>
      <c r="K58" s="48">
        <f t="shared" si="17"/>
        <v>27.109875263470247</v>
      </c>
      <c r="L58" s="48">
        <f t="shared" si="18"/>
        <v>52.13437550667355</v>
      </c>
      <c r="M58" s="35"/>
      <c r="N58" s="35"/>
      <c r="O58" s="35"/>
      <c r="P58" s="35"/>
      <c r="Q58" s="35"/>
      <c r="R58" s="35"/>
    </row>
    <row r="59" spans="2:18" x14ac:dyDescent="0.2">
      <c r="B59" s="26">
        <f t="shared" si="9"/>
        <v>55</v>
      </c>
      <c r="C59" s="47">
        <f>IF($E$9="H",+(VLOOKUP(B59,'CSO2001'!_xlnm.Print_Area,11)-VLOOKUP(B59+$E$8,'CSO2001'!_xlnm.Print_Area,11))/(VLOOKUP(B59,'CSO2001'!_xlnm.Print_Area,9)-VLOOKUP(B59+$E$8,'CSO2001'!_xlnm.Print_Area,9))*$E$7,+(VLOOKUP(B59-3,'CSO2001'!_xlnm.Print_Area,11)-VLOOKUP(B59-3+$E$8,'CSO2001'!_xlnm.Print_Area,11))/(VLOOKUP(B59-3,'CSO2001'!_xlnm.Print_Area,9)-VLOOKUP(B59-3+$E$8,'CSO2001'!_xlnm.Print_Area,9))*$E$7)*(1+$E$10)</f>
        <v>28.319385825103765</v>
      </c>
      <c r="D59" s="48">
        <f t="shared" si="10"/>
        <v>56.638771650207531</v>
      </c>
      <c r="E59" s="48">
        <f>+$D59*(1+$E$12)</f>
        <v>60.603485665722062</v>
      </c>
      <c r="F59" s="48">
        <f>+$D59*(1+$F$12)</f>
        <v>60.037097949219984</v>
      </c>
      <c r="G59" s="48">
        <f>+$D59*(1+$G$12)</f>
        <v>58.904322516215835</v>
      </c>
      <c r="H59" s="48">
        <f>+$D59*(1+$H$12)</f>
        <v>56.638771650207531</v>
      </c>
      <c r="I59" s="48">
        <f>+E59/12</f>
        <v>5.0502904721435051</v>
      </c>
      <c r="J59" s="48">
        <f>+F59/4</f>
        <v>15.009274487304996</v>
      </c>
      <c r="K59" s="48">
        <f>+G59/2</f>
        <v>29.452161258107918</v>
      </c>
      <c r="L59" s="48">
        <f>+H59</f>
        <v>56.638771650207531</v>
      </c>
      <c r="M59" s="35"/>
      <c r="N59" s="35"/>
      <c r="O59" s="35"/>
      <c r="P59" s="35"/>
      <c r="Q59" s="35"/>
      <c r="R59" s="35"/>
    </row>
    <row r="60" spans="2:18" x14ac:dyDescent="0.2">
      <c r="B60" s="26">
        <f t="shared" si="9"/>
        <v>56</v>
      </c>
      <c r="C60" s="47">
        <f>IF($E$9="H",+(VLOOKUP(B60,'CSO2001'!_xlnm.Print_Area,11)-VLOOKUP(B60+$E$8,'CSO2001'!_xlnm.Print_Area,11))/(VLOOKUP(B60,'CSO2001'!_xlnm.Print_Area,9)-VLOOKUP(B60+$E$8,'CSO2001'!_xlnm.Print_Area,9))*$E$7,+(VLOOKUP(B60-3,'CSO2001'!_xlnm.Print_Area,11)-VLOOKUP(B60-3+$E$8,'CSO2001'!_xlnm.Print_Area,11))/(VLOOKUP(B60-3,'CSO2001'!_xlnm.Print_Area,9)-VLOOKUP(B60-3+$E$8,'CSO2001'!_xlnm.Print_Area,9))*$E$7)*(1+$E$10)</f>
        <v>30.725670760702798</v>
      </c>
      <c r="D60" s="48">
        <f t="shared" si="10"/>
        <v>61.451341521405595</v>
      </c>
      <c r="E60" s="48">
        <f t="shared" si="11"/>
        <v>65.752935427903992</v>
      </c>
      <c r="F60" s="48">
        <f t="shared" si="12"/>
        <v>65.138422012689929</v>
      </c>
      <c r="G60" s="48">
        <f t="shared" si="13"/>
        <v>63.909395182261818</v>
      </c>
      <c r="H60" s="48">
        <f t="shared" si="14"/>
        <v>61.451341521405595</v>
      </c>
      <c r="I60" s="48">
        <f t="shared" si="15"/>
        <v>5.4794112856586663</v>
      </c>
      <c r="J60" s="48">
        <f t="shared" si="16"/>
        <v>16.284605503172482</v>
      </c>
      <c r="K60" s="48">
        <f t="shared" si="17"/>
        <v>31.954697591130909</v>
      </c>
      <c r="L60" s="48">
        <f t="shared" si="18"/>
        <v>61.451341521405595</v>
      </c>
      <c r="M60" s="35"/>
      <c r="N60" s="35"/>
      <c r="O60" s="35"/>
      <c r="P60" s="35"/>
      <c r="Q60" s="35"/>
      <c r="R60" s="35"/>
    </row>
    <row r="61" spans="2:18" x14ac:dyDescent="0.2">
      <c r="B61" s="26">
        <f t="shared" si="9"/>
        <v>57</v>
      </c>
      <c r="C61" s="47">
        <f>IF($E$9="H",+(VLOOKUP(B61,'CSO2001'!_xlnm.Print_Area,11)-VLOOKUP(B61+$E$8,'CSO2001'!_xlnm.Print_Area,11))/(VLOOKUP(B61,'CSO2001'!_xlnm.Print_Area,9)-VLOOKUP(B61+$E$8,'CSO2001'!_xlnm.Print_Area,9))*$E$7,+(VLOOKUP(B61-3,'CSO2001'!_xlnm.Print_Area,11)-VLOOKUP(B61-3+$E$8,'CSO2001'!_xlnm.Print_Area,11))/(VLOOKUP(B61-3,'CSO2001'!_xlnm.Print_Area,9)-VLOOKUP(B61-3+$E$8,'CSO2001'!_xlnm.Print_Area,9))*$E$7)*(1+$E$10)</f>
        <v>33.293602654352462</v>
      </c>
      <c r="D61" s="48">
        <f t="shared" si="10"/>
        <v>66.587205308704924</v>
      </c>
      <c r="E61" s="48">
        <f t="shared" si="11"/>
        <v>71.248309680314279</v>
      </c>
      <c r="F61" s="48">
        <f t="shared" si="12"/>
        <v>70.582437627227222</v>
      </c>
      <c r="G61" s="48">
        <f t="shared" si="13"/>
        <v>69.250693521053122</v>
      </c>
      <c r="H61" s="48">
        <f t="shared" si="14"/>
        <v>66.587205308704924</v>
      </c>
      <c r="I61" s="48">
        <f t="shared" si="15"/>
        <v>5.9373591400261896</v>
      </c>
      <c r="J61" s="48">
        <f t="shared" si="16"/>
        <v>17.645609406806805</v>
      </c>
      <c r="K61" s="48">
        <f t="shared" si="17"/>
        <v>34.625346760526561</v>
      </c>
      <c r="L61" s="48">
        <f t="shared" si="18"/>
        <v>66.587205308704924</v>
      </c>
      <c r="M61" s="35"/>
      <c r="N61" s="35"/>
      <c r="O61" s="35"/>
      <c r="P61" s="35"/>
      <c r="Q61" s="35"/>
      <c r="R61" s="35"/>
    </row>
    <row r="62" spans="2:18" x14ac:dyDescent="0.2">
      <c r="B62" s="26">
        <f t="shared" si="9"/>
        <v>58</v>
      </c>
      <c r="C62" s="47">
        <f>IF($E$9="H",+(VLOOKUP(B62,'CSO2001'!_xlnm.Print_Area,11)-VLOOKUP(B62+$E$8,'CSO2001'!_xlnm.Print_Area,11))/(VLOOKUP(B62,'CSO2001'!_xlnm.Print_Area,9)-VLOOKUP(B62+$E$8,'CSO2001'!_xlnm.Print_Area,9))*$E$7,+(VLOOKUP(B62-3,'CSO2001'!_xlnm.Print_Area,11)-VLOOKUP(B62-3+$E$8,'CSO2001'!_xlnm.Print_Area,11))/(VLOOKUP(B62-3,'CSO2001'!_xlnm.Print_Area,9)-VLOOKUP(B62-3+$E$8,'CSO2001'!_xlnm.Print_Area,9))*$E$7)*(1+$E$10)</f>
        <v>36.015364993450007</v>
      </c>
      <c r="D62" s="48">
        <f t="shared" si="10"/>
        <v>72.030729986900013</v>
      </c>
      <c r="E62" s="48">
        <f t="shared" si="11"/>
        <v>77.072881085983013</v>
      </c>
      <c r="F62" s="48">
        <f t="shared" si="12"/>
        <v>76.352573786114021</v>
      </c>
      <c r="G62" s="48">
        <f t="shared" si="13"/>
        <v>74.911959186376009</v>
      </c>
      <c r="H62" s="48">
        <f t="shared" si="14"/>
        <v>72.030729986900013</v>
      </c>
      <c r="I62" s="48">
        <f t="shared" si="15"/>
        <v>6.4227400904985847</v>
      </c>
      <c r="J62" s="48">
        <f t="shared" si="16"/>
        <v>19.088143446528505</v>
      </c>
      <c r="K62" s="48">
        <f t="shared" si="17"/>
        <v>37.455979593188005</v>
      </c>
      <c r="L62" s="48">
        <f t="shared" si="18"/>
        <v>72.030729986900013</v>
      </c>
      <c r="M62" s="35"/>
      <c r="N62" s="35"/>
      <c r="O62" s="35"/>
      <c r="P62" s="35"/>
      <c r="Q62" s="35"/>
      <c r="R62" s="35"/>
    </row>
    <row r="63" spans="2:18" x14ac:dyDescent="0.2">
      <c r="B63" s="26">
        <f t="shared" si="9"/>
        <v>59</v>
      </c>
      <c r="C63" s="47">
        <f>IF($E$9="H",+(VLOOKUP(B63,'CSO2001'!_xlnm.Print_Area,11)-VLOOKUP(B63+$E$8,'CSO2001'!_xlnm.Print_Area,11))/(VLOOKUP(B63,'CSO2001'!_xlnm.Print_Area,9)-VLOOKUP(B63+$E$8,'CSO2001'!_xlnm.Print_Area,9))*$E$7,+(VLOOKUP(B63-3,'CSO2001'!_xlnm.Print_Area,11)-VLOOKUP(B63-3+$E$8,'CSO2001'!_xlnm.Print_Area,11))/(VLOOKUP(B63-3,'CSO2001'!_xlnm.Print_Area,9)-VLOOKUP(B63-3+$E$8,'CSO2001'!_xlnm.Print_Area,9))*$E$7)*(1+$E$10)</f>
        <v>38.911263938263588</v>
      </c>
      <c r="D63" s="48">
        <f t="shared" si="10"/>
        <v>77.822527876527175</v>
      </c>
      <c r="E63" s="48">
        <f t="shared" si="11"/>
        <v>83.270104827884083</v>
      </c>
      <c r="F63" s="48">
        <f t="shared" si="12"/>
        <v>82.491879549118806</v>
      </c>
      <c r="G63" s="48">
        <f t="shared" si="13"/>
        <v>80.935428991588267</v>
      </c>
      <c r="H63" s="48">
        <f t="shared" si="14"/>
        <v>77.822527876527175</v>
      </c>
      <c r="I63" s="48">
        <f t="shared" si="15"/>
        <v>6.9391754023236736</v>
      </c>
      <c r="J63" s="48">
        <f t="shared" si="16"/>
        <v>20.622969887279702</v>
      </c>
      <c r="K63" s="48">
        <f t="shared" si="17"/>
        <v>40.467714495794134</v>
      </c>
      <c r="L63" s="48">
        <f t="shared" si="18"/>
        <v>77.822527876527175</v>
      </c>
      <c r="M63" s="35"/>
      <c r="N63" s="35"/>
      <c r="O63" s="35"/>
      <c r="P63" s="35"/>
      <c r="Q63" s="35"/>
      <c r="R63" s="35"/>
    </row>
    <row r="64" spans="2:18" x14ac:dyDescent="0.2">
      <c r="B64" s="26">
        <f t="shared" si="9"/>
        <v>60</v>
      </c>
      <c r="C64" s="47">
        <f>IF($E$9="H",+(VLOOKUP(B64,'CSO2001'!_xlnm.Print_Area,11)-VLOOKUP(B64+$E$8,'CSO2001'!_xlnm.Print_Area,11))/(VLOOKUP(B64,'CSO2001'!_xlnm.Print_Area,9)-VLOOKUP(B64+$E$8,'CSO2001'!_xlnm.Print_Area,9))*$E$7,+(VLOOKUP(B64-3,'CSO2001'!_xlnm.Print_Area,11)-VLOOKUP(B64-3+$E$8,'CSO2001'!_xlnm.Print_Area,11))/(VLOOKUP(B64-3,'CSO2001'!_xlnm.Print_Area,9)-VLOOKUP(B64-3+$E$8,'CSO2001'!_xlnm.Print_Area,9))*$E$7)*(1+$E$10)</f>
        <v>41.982699866975516</v>
      </c>
      <c r="D64" s="48">
        <f t="shared" si="10"/>
        <v>83.965399733951031</v>
      </c>
      <c r="E64" s="48">
        <f>+$D64*(1+$E$12)</f>
        <v>89.842977715327606</v>
      </c>
      <c r="F64" s="48">
        <f>+$D64*(1+$F$12)</f>
        <v>89.003323717988096</v>
      </c>
      <c r="G64" s="48">
        <f>+$D64*(1+$G$12)</f>
        <v>87.324015723309074</v>
      </c>
      <c r="H64" s="48">
        <f>+$D64*(1+$H$12)</f>
        <v>83.965399733951031</v>
      </c>
      <c r="I64" s="48">
        <f>+E64/12</f>
        <v>7.4869148096106342</v>
      </c>
      <c r="J64" s="48">
        <f>+F64/4</f>
        <v>22.250830929497024</v>
      </c>
      <c r="K64" s="48">
        <f>+G64/2</f>
        <v>43.662007861654537</v>
      </c>
      <c r="L64" s="48">
        <f>+H64</f>
        <v>83.965399733951031</v>
      </c>
      <c r="M64" s="35"/>
      <c r="N64" s="35"/>
      <c r="O64" s="35"/>
      <c r="P64" s="35"/>
      <c r="Q64" s="35"/>
      <c r="R64" s="35"/>
    </row>
    <row r="65" spans="2:18" x14ac:dyDescent="0.2">
      <c r="B65" s="26">
        <f t="shared" si="9"/>
        <v>61</v>
      </c>
      <c r="C65" s="47">
        <f>IF($E$9="H",+(VLOOKUP(B65,'CSO2001'!_xlnm.Print_Area,11)-VLOOKUP(B65+$E$8,'CSO2001'!_xlnm.Print_Area,11))/(VLOOKUP(B65,'CSO2001'!_xlnm.Print_Area,9)-VLOOKUP(B65+$E$8,'CSO2001'!_xlnm.Print_Area,9))*$E$7,+(VLOOKUP(B65-3,'CSO2001'!_xlnm.Print_Area,11)-VLOOKUP(B65-3+$E$8,'CSO2001'!_xlnm.Print_Area,11))/(VLOOKUP(B65-3,'CSO2001'!_xlnm.Print_Area,9)-VLOOKUP(B65-3+$E$8,'CSO2001'!_xlnm.Print_Area,9))*$E$7)*(1+$E$10)</f>
        <v>45.226069075911632</v>
      </c>
      <c r="D65" s="48">
        <f t="shared" si="10"/>
        <v>90.452138151823263</v>
      </c>
      <c r="E65" s="48">
        <f t="shared" si="11"/>
        <v>96.783787822450904</v>
      </c>
      <c r="F65" s="48">
        <f t="shared" si="12"/>
        <v>95.879266440932668</v>
      </c>
      <c r="G65" s="48">
        <f t="shared" si="13"/>
        <v>94.070223677896195</v>
      </c>
      <c r="H65" s="48">
        <f t="shared" si="14"/>
        <v>90.452138151823263</v>
      </c>
      <c r="I65" s="48">
        <f t="shared" si="15"/>
        <v>8.0653156518709093</v>
      </c>
      <c r="J65" s="48">
        <f t="shared" si="16"/>
        <v>23.969816610233167</v>
      </c>
      <c r="K65" s="48">
        <f t="shared" si="17"/>
        <v>47.035111838948097</v>
      </c>
      <c r="L65" s="48">
        <f t="shared" si="18"/>
        <v>90.452138151823263</v>
      </c>
      <c r="M65" s="35"/>
      <c r="N65" s="35"/>
      <c r="O65" s="35"/>
      <c r="P65" s="35"/>
      <c r="Q65" s="35"/>
      <c r="R65" s="35"/>
    </row>
    <row r="66" spans="2:18" x14ac:dyDescent="0.2">
      <c r="B66" s="26">
        <f t="shared" si="9"/>
        <v>62</v>
      </c>
      <c r="C66" s="47">
        <f>IF($E$9="H",+(VLOOKUP(B66,'CSO2001'!_xlnm.Print_Area,11)-VLOOKUP(B66+$E$8,'CSO2001'!_xlnm.Print_Area,11))/(VLOOKUP(B66,'CSO2001'!_xlnm.Print_Area,9)-VLOOKUP(B66+$E$8,'CSO2001'!_xlnm.Print_Area,9))*$E$7,+(VLOOKUP(B66-3,'CSO2001'!_xlnm.Print_Area,11)-VLOOKUP(B66-3+$E$8,'CSO2001'!_xlnm.Print_Area,11))/(VLOOKUP(B66-3,'CSO2001'!_xlnm.Print_Area,9)-VLOOKUP(B66-3+$E$8,'CSO2001'!_xlnm.Print_Area,9))*$E$7)*(1+$E$10)</f>
        <v>48.627597250333849</v>
      </c>
      <c r="D66" s="48">
        <f t="shared" si="10"/>
        <v>97.255194500667699</v>
      </c>
      <c r="E66" s="48">
        <f t="shared" si="11"/>
        <v>104.06305811571444</v>
      </c>
      <c r="F66" s="48">
        <f t="shared" si="12"/>
        <v>103.09050617070777</v>
      </c>
      <c r="G66" s="48">
        <f t="shared" si="13"/>
        <v>101.14540228069441</v>
      </c>
      <c r="H66" s="48">
        <f t="shared" si="14"/>
        <v>97.255194500667699</v>
      </c>
      <c r="I66" s="48">
        <f t="shared" si="15"/>
        <v>8.6719215096428695</v>
      </c>
      <c r="J66" s="48">
        <f t="shared" si="16"/>
        <v>25.772626542676942</v>
      </c>
      <c r="K66" s="48">
        <f t="shared" si="17"/>
        <v>50.572701140347206</v>
      </c>
      <c r="L66" s="48">
        <f t="shared" si="18"/>
        <v>97.255194500667699</v>
      </c>
      <c r="M66" s="35"/>
      <c r="N66" s="35"/>
      <c r="O66" s="35"/>
      <c r="P66" s="35"/>
      <c r="Q66" s="35"/>
      <c r="R66" s="35"/>
    </row>
    <row r="67" spans="2:18" x14ac:dyDescent="0.2">
      <c r="B67" s="26">
        <f t="shared" si="9"/>
        <v>63</v>
      </c>
      <c r="C67" s="47">
        <f>IF($E$9="H",+(VLOOKUP(B67,'CSO2001'!_xlnm.Print_Area,11)-VLOOKUP(B67+$E$8,'CSO2001'!_xlnm.Print_Area,11))/(VLOOKUP(B67,'CSO2001'!_xlnm.Print_Area,9)-VLOOKUP(B67+$E$8,'CSO2001'!_xlnm.Print_Area,9))*$E$7,+(VLOOKUP(B67-3,'CSO2001'!_xlnm.Print_Area,11)-VLOOKUP(B67-3+$E$8,'CSO2001'!_xlnm.Print_Area,11))/(VLOOKUP(B67-3,'CSO2001'!_xlnm.Print_Area,9)-VLOOKUP(B67-3+$E$8,'CSO2001'!_xlnm.Print_Area,9))*$E$7)*(1+$E$10)</f>
        <v>52.167844261844984</v>
      </c>
      <c r="D67" s="48">
        <f t="shared" si="10"/>
        <v>104.33568852368997</v>
      </c>
      <c r="E67" s="48">
        <f t="shared" si="11"/>
        <v>111.63918672034828</v>
      </c>
      <c r="F67" s="48">
        <f t="shared" si="12"/>
        <v>110.59582983511137</v>
      </c>
      <c r="G67" s="48">
        <f t="shared" si="13"/>
        <v>108.50911606463757</v>
      </c>
      <c r="H67" s="48">
        <f t="shared" si="14"/>
        <v>104.33568852368997</v>
      </c>
      <c r="I67" s="48">
        <f t="shared" si="15"/>
        <v>9.3032655600290237</v>
      </c>
      <c r="J67" s="48">
        <f t="shared" si="16"/>
        <v>27.648957458777843</v>
      </c>
      <c r="K67" s="48">
        <f t="shared" si="17"/>
        <v>54.254558032318783</v>
      </c>
      <c r="L67" s="48">
        <f t="shared" si="18"/>
        <v>104.33568852368997</v>
      </c>
      <c r="M67" s="35"/>
      <c r="N67" s="35"/>
      <c r="O67" s="35"/>
      <c r="P67" s="35"/>
      <c r="Q67" s="35"/>
      <c r="R67" s="35"/>
    </row>
    <row r="68" spans="2:18" x14ac:dyDescent="0.2">
      <c r="B68" s="26">
        <f t="shared" si="9"/>
        <v>64</v>
      </c>
      <c r="C68" s="47">
        <f>IF($E$9="H",+(VLOOKUP(B68,'CSO2001'!_xlnm.Print_Area,11)-VLOOKUP(B68+$E$8,'CSO2001'!_xlnm.Print_Area,11))/(VLOOKUP(B68,'CSO2001'!_xlnm.Print_Area,9)-VLOOKUP(B68+$E$8,'CSO2001'!_xlnm.Print_Area,9))*$E$7,+(VLOOKUP(B68-3,'CSO2001'!_xlnm.Print_Area,11)-VLOOKUP(B68-3+$E$8,'CSO2001'!_xlnm.Print_Area,11))/(VLOOKUP(B68-3,'CSO2001'!_xlnm.Print_Area,9)-VLOOKUP(B68-3+$E$8,'CSO2001'!_xlnm.Print_Area,9))*$E$7)*(1+$E$10)</f>
        <v>55.836871659133422</v>
      </c>
      <c r="D68" s="48">
        <f t="shared" si="10"/>
        <v>111.67374331826684</v>
      </c>
      <c r="E68" s="48">
        <f t="shared" si="11"/>
        <v>119.49090535054553</v>
      </c>
      <c r="F68" s="48">
        <f t="shared" si="12"/>
        <v>118.37416791736285</v>
      </c>
      <c r="G68" s="48">
        <f t="shared" si="13"/>
        <v>116.14069305099753</v>
      </c>
      <c r="H68" s="48">
        <f t="shared" si="14"/>
        <v>111.67374331826684</v>
      </c>
      <c r="I68" s="48">
        <f t="shared" si="15"/>
        <v>9.9575754458787937</v>
      </c>
      <c r="J68" s="48">
        <f t="shared" si="16"/>
        <v>29.593541979340714</v>
      </c>
      <c r="K68" s="48">
        <f t="shared" si="17"/>
        <v>58.070346525498763</v>
      </c>
      <c r="L68" s="48">
        <f t="shared" si="18"/>
        <v>111.67374331826684</v>
      </c>
      <c r="M68" s="35"/>
      <c r="N68" s="35"/>
      <c r="O68" s="35"/>
      <c r="P68" s="35"/>
      <c r="Q68" s="35"/>
      <c r="R68" s="35"/>
    </row>
    <row r="69" spans="2:18" x14ac:dyDescent="0.2">
      <c r="B69" s="26">
        <f t="shared" si="9"/>
        <v>65</v>
      </c>
      <c r="C69" s="47">
        <f>IF($E$9="H",+(VLOOKUP(B69,'CSO2001'!_xlnm.Print_Area,11)-VLOOKUP(B69+$E$8,'CSO2001'!_xlnm.Print_Area,11))/(VLOOKUP(B69,'CSO2001'!_xlnm.Print_Area,9)-VLOOKUP(B69+$E$8,'CSO2001'!_xlnm.Print_Area,9))*$E$7,+(VLOOKUP(B69-3,'CSO2001'!_xlnm.Print_Area,11)-VLOOKUP(B69-3+$E$8,'CSO2001'!_xlnm.Print_Area,11))/(VLOOKUP(B69-3,'CSO2001'!_xlnm.Print_Area,9)-VLOOKUP(B69-3+$E$8,'CSO2001'!_xlnm.Print_Area,9))*$E$7)*(1+$E$10)</f>
        <v>59.639389376528257</v>
      </c>
      <c r="D69" s="48">
        <f t="shared" si="10"/>
        <v>119.27877875305651</v>
      </c>
      <c r="E69" s="48">
        <f t="shared" ref="E69:E74" si="19">+$D69*(1+$E$12)</f>
        <v>127.62829326577048</v>
      </c>
      <c r="F69" s="48">
        <f t="shared" ref="F69:F74" si="20">+$D69*(1+$F$12)</f>
        <v>126.43550547823992</v>
      </c>
      <c r="G69" s="48">
        <f t="shared" ref="G69:G74" si="21">+$D69*(1+$G$12)</f>
        <v>124.04992990317878</v>
      </c>
      <c r="H69" s="48">
        <f t="shared" ref="H69:H74" si="22">+$D69*(1+$H$12)</f>
        <v>119.27877875305651</v>
      </c>
      <c r="I69" s="48">
        <f t="shared" ref="I69:I74" si="23">+E69/12</f>
        <v>10.635691105480873</v>
      </c>
      <c r="J69" s="48">
        <f t="shared" ref="J69:J74" si="24">+F69/4</f>
        <v>31.608876369559979</v>
      </c>
      <c r="K69" s="48">
        <f t="shared" ref="K69:K74" si="25">+G69/2</f>
        <v>62.024964951589389</v>
      </c>
      <c r="L69" s="48">
        <f t="shared" ref="L69:L74" si="26">+H69</f>
        <v>119.27877875305651</v>
      </c>
      <c r="M69" s="35"/>
      <c r="N69" s="35"/>
      <c r="O69" s="35"/>
      <c r="P69" s="35"/>
      <c r="Q69" s="35"/>
      <c r="R69" s="35"/>
    </row>
    <row r="70" spans="2:18" x14ac:dyDescent="0.2">
      <c r="B70" s="26">
        <f t="shared" si="9"/>
        <v>66</v>
      </c>
      <c r="C70" s="47">
        <f>IF($E$9="H",+(VLOOKUP(B70,'CSO2001'!_xlnm.Print_Area,11)-VLOOKUP(B70+$E$8,'CSO2001'!_xlnm.Print_Area,11))/(VLOOKUP(B70,'CSO2001'!_xlnm.Print_Area,9)-VLOOKUP(B70+$E$8,'CSO2001'!_xlnm.Print_Area,9))*$E$7,+(VLOOKUP(B70-3,'CSO2001'!_xlnm.Print_Area,11)-VLOOKUP(B70-3+$E$8,'CSO2001'!_xlnm.Print_Area,11))/(VLOOKUP(B70-3,'CSO2001'!_xlnm.Print_Area,9)-VLOOKUP(B70-3+$E$8,'CSO2001'!_xlnm.Print_Area,9))*$E$7)*(1+$E$10)</f>
        <v>63.586685490086154</v>
      </c>
      <c r="D70" s="48">
        <f>+C70/(1-$D$13)</f>
        <v>127.17337098017231</v>
      </c>
      <c r="E70" s="48">
        <f t="shared" si="19"/>
        <v>136.07550694878438</v>
      </c>
      <c r="F70" s="48">
        <f t="shared" si="20"/>
        <v>134.80377323898264</v>
      </c>
      <c r="G70" s="48">
        <f t="shared" si="21"/>
        <v>132.2603058193792</v>
      </c>
      <c r="H70" s="48">
        <f t="shared" si="22"/>
        <v>127.17337098017231</v>
      </c>
      <c r="I70" s="48">
        <f t="shared" si="23"/>
        <v>11.339625579065364</v>
      </c>
      <c r="J70" s="48">
        <f t="shared" si="24"/>
        <v>33.700943309745661</v>
      </c>
      <c r="K70" s="48">
        <f t="shared" si="25"/>
        <v>66.130152909689599</v>
      </c>
      <c r="L70" s="48">
        <f t="shared" si="26"/>
        <v>127.17337098017231</v>
      </c>
    </row>
    <row r="71" spans="2:18" x14ac:dyDescent="0.2">
      <c r="B71" s="26">
        <f t="shared" si="9"/>
        <v>67</v>
      </c>
      <c r="C71" s="47">
        <f>IF($E$9="H",+(VLOOKUP(B71,'CSO2001'!_xlnm.Print_Area,11)-VLOOKUP(B71+$E$8,'CSO2001'!_xlnm.Print_Area,11))/(VLOOKUP(B71,'CSO2001'!_xlnm.Print_Area,9)-VLOOKUP(B71+$E$8,'CSO2001'!_xlnm.Print_Area,9))*$E$7,+(VLOOKUP(B71-3,'CSO2001'!_xlnm.Print_Area,11)-VLOOKUP(B71-3+$E$8,'CSO2001'!_xlnm.Print_Area,11))/(VLOOKUP(B71-3,'CSO2001'!_xlnm.Print_Area,9)-VLOOKUP(B71-3+$E$8,'CSO2001'!_xlnm.Print_Area,9))*$E$7)*(1+$E$10)</f>
        <v>67.706932009033636</v>
      </c>
      <c r="D71" s="48">
        <f>+C71/(1-$D$13)</f>
        <v>135.41386401806727</v>
      </c>
      <c r="E71" s="48">
        <f t="shared" si="19"/>
        <v>144.892834499332</v>
      </c>
      <c r="F71" s="48">
        <f t="shared" si="20"/>
        <v>143.53869585915132</v>
      </c>
      <c r="G71" s="48">
        <f t="shared" si="21"/>
        <v>140.83041857878996</v>
      </c>
      <c r="H71" s="48">
        <f t="shared" si="22"/>
        <v>135.41386401806727</v>
      </c>
      <c r="I71" s="48">
        <f t="shared" si="23"/>
        <v>12.074402874944333</v>
      </c>
      <c r="J71" s="48">
        <f t="shared" si="24"/>
        <v>35.884673964787829</v>
      </c>
      <c r="K71" s="48">
        <f t="shared" si="25"/>
        <v>70.41520928939498</v>
      </c>
      <c r="L71" s="48">
        <f t="shared" si="26"/>
        <v>135.41386401806727</v>
      </c>
    </row>
    <row r="72" spans="2:18" x14ac:dyDescent="0.2">
      <c r="B72" s="26">
        <f t="shared" si="9"/>
        <v>68</v>
      </c>
      <c r="C72" s="47">
        <f>IF($E$9="H",+(VLOOKUP(B72,'CSO2001'!_xlnm.Print_Area,11)-VLOOKUP(B72+$E$8,'CSO2001'!_xlnm.Print_Area,11))/(VLOOKUP(B72,'CSO2001'!_xlnm.Print_Area,9)-VLOOKUP(B72+$E$8,'CSO2001'!_xlnm.Print_Area,9))*$E$7,+(VLOOKUP(B72-3,'CSO2001'!_xlnm.Print_Area,11)-VLOOKUP(B72-3+$E$8,'CSO2001'!_xlnm.Print_Area,11))/(VLOOKUP(B72-3,'CSO2001'!_xlnm.Print_Area,9)-VLOOKUP(B72-3+$E$8,'CSO2001'!_xlnm.Print_Area,9))*$E$7)*(1+$E$10)</f>
        <v>72.053272215621988</v>
      </c>
      <c r="D72" s="48">
        <f>+C72/(1-$D$13)</f>
        <v>144.10654443124398</v>
      </c>
      <c r="E72" s="48">
        <f t="shared" si="19"/>
        <v>154.19400254143108</v>
      </c>
      <c r="F72" s="48">
        <f t="shared" si="20"/>
        <v>152.75293709711863</v>
      </c>
      <c r="G72" s="48">
        <f t="shared" si="21"/>
        <v>149.87080620849375</v>
      </c>
      <c r="H72" s="48">
        <f t="shared" si="22"/>
        <v>144.10654443124398</v>
      </c>
      <c r="I72" s="48">
        <f t="shared" si="23"/>
        <v>12.849500211785923</v>
      </c>
      <c r="J72" s="48">
        <f t="shared" si="24"/>
        <v>38.188234274279658</v>
      </c>
      <c r="K72" s="48">
        <f t="shared" si="25"/>
        <v>74.935403104246873</v>
      </c>
      <c r="L72" s="48">
        <f t="shared" si="26"/>
        <v>144.10654443124398</v>
      </c>
    </row>
    <row r="73" spans="2:18" x14ac:dyDescent="0.2">
      <c r="B73" s="26">
        <f t="shared" si="9"/>
        <v>69</v>
      </c>
      <c r="C73" s="47">
        <f>IF($E$9="H",+(VLOOKUP(B73,'CSO2001'!_xlnm.Print_Area,11)-VLOOKUP(B73+$E$8,'CSO2001'!_xlnm.Print_Area,11))/(VLOOKUP(B73,'CSO2001'!_xlnm.Print_Area,9)-VLOOKUP(B73+$E$8,'CSO2001'!_xlnm.Print_Area,9))*$E$7,+(VLOOKUP(B73-3,'CSO2001'!_xlnm.Print_Area,11)-VLOOKUP(B73-3+$E$8,'CSO2001'!_xlnm.Print_Area,11))/(VLOOKUP(B73-3,'CSO2001'!_xlnm.Print_Area,9)-VLOOKUP(B73-3+$E$8,'CSO2001'!_xlnm.Print_Area,9))*$E$7)*(1+$E$10)</f>
        <v>76.670480818648073</v>
      </c>
      <c r="D73" s="48">
        <f>+C73/(1-$D$13)</f>
        <v>153.34096163729615</v>
      </c>
      <c r="E73" s="48">
        <f t="shared" si="19"/>
        <v>164.07482895190688</v>
      </c>
      <c r="F73" s="48">
        <f t="shared" si="20"/>
        <v>162.54141933553393</v>
      </c>
      <c r="G73" s="48">
        <f t="shared" si="21"/>
        <v>159.474600102788</v>
      </c>
      <c r="H73" s="48">
        <f t="shared" si="22"/>
        <v>153.34096163729615</v>
      </c>
      <c r="I73" s="48">
        <f t="shared" si="23"/>
        <v>13.672902412658907</v>
      </c>
      <c r="J73" s="48">
        <f t="shared" si="24"/>
        <v>40.635354833883483</v>
      </c>
      <c r="K73" s="48">
        <f t="shared" si="25"/>
        <v>79.737300051394001</v>
      </c>
      <c r="L73" s="48">
        <f t="shared" si="26"/>
        <v>153.34096163729615</v>
      </c>
    </row>
    <row r="74" spans="2:18" x14ac:dyDescent="0.2">
      <c r="B74" s="26">
        <f t="shared" si="9"/>
        <v>70</v>
      </c>
      <c r="C74" s="47">
        <f>IF($E$9="H",+(VLOOKUP(B74,'CSO2001'!_xlnm.Print_Area,11)-VLOOKUP(B74+$E$8,'CSO2001'!_xlnm.Print_Area,11))/(VLOOKUP(B74,'CSO2001'!_xlnm.Print_Area,9)-VLOOKUP(B74+$E$8,'CSO2001'!_xlnm.Print_Area,9))*$E$7,+(VLOOKUP(B74-3,'CSO2001'!_xlnm.Print_Area,11)-VLOOKUP(B74-3+$E$8,'CSO2001'!_xlnm.Print_Area,11))/(VLOOKUP(B74-3,'CSO2001'!_xlnm.Print_Area,9)-VLOOKUP(B74-3+$E$8,'CSO2001'!_xlnm.Print_Area,9))*$E$7)*(1+$E$10)</f>
        <v>81.635034584131006</v>
      </c>
      <c r="D74" s="48">
        <f>+C74/(1-$D$13)</f>
        <v>163.27006916826201</v>
      </c>
      <c r="E74" s="48">
        <f t="shared" si="19"/>
        <v>174.69897401004036</v>
      </c>
      <c r="F74" s="48">
        <f t="shared" si="20"/>
        <v>173.06627331835773</v>
      </c>
      <c r="G74" s="48">
        <f t="shared" si="21"/>
        <v>169.8008719349925</v>
      </c>
      <c r="H74" s="48">
        <f t="shared" si="22"/>
        <v>163.27006916826201</v>
      </c>
      <c r="I74" s="48">
        <f t="shared" si="23"/>
        <v>14.558247834170031</v>
      </c>
      <c r="J74" s="48">
        <f t="shared" si="24"/>
        <v>43.266568329589433</v>
      </c>
      <c r="K74" s="48">
        <f t="shared" si="25"/>
        <v>84.90043596749625</v>
      </c>
      <c r="L74" s="48">
        <f t="shared" si="26"/>
        <v>163.27006916826201</v>
      </c>
    </row>
  </sheetData>
  <mergeCells count="8">
    <mergeCell ref="I14:L14"/>
    <mergeCell ref="E15:H15"/>
    <mergeCell ref="B3:L3"/>
    <mergeCell ref="B4:L4"/>
    <mergeCell ref="B8:D8"/>
    <mergeCell ref="B9:D9"/>
    <mergeCell ref="B11:D11"/>
    <mergeCell ref="B12:D12"/>
  </mergeCells>
  <dataValidations count="1">
    <dataValidation allowBlank="1" showInputMessage="1" showErrorMessage="1" prompt="CELDA PROTEGIDA!!!!" sqref="D14" xr:uid="{00000000-0002-0000-0700-000000000000}"/>
  </dataValidations>
  <pageMargins left="0.7" right="0.7" top="0.75" bottom="0.75" header="0.3" footer="0.3"/>
  <pageSetup scale="75" orientation="landscape" horizontalDpi="4294967293" verticalDpi="0" r:id="rId1"/>
  <headerFoot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74"/>
  <sheetViews>
    <sheetView workbookViewId="0">
      <selection activeCell="B23" sqref="B23:N23"/>
    </sheetView>
  </sheetViews>
  <sheetFormatPr defaultColWidth="11.42578125" defaultRowHeight="12.75" x14ac:dyDescent="0.2"/>
  <cols>
    <col min="1" max="2" width="11.42578125" customWidth="1"/>
    <col min="3" max="3" width="14.42578125" customWidth="1"/>
    <col min="4" max="4" width="15.28515625" customWidth="1"/>
    <col min="5" max="5" width="17.140625" customWidth="1"/>
    <col min="6" max="6" width="15.7109375" customWidth="1"/>
    <col min="7" max="7" width="14" customWidth="1"/>
    <col min="8" max="8" width="14.5703125" customWidth="1"/>
    <col min="9" max="9" width="14.7109375" customWidth="1"/>
    <col min="10" max="10" width="13.85546875" customWidth="1"/>
    <col min="11" max="11" width="16" customWidth="1"/>
    <col min="12" max="12" width="13.85546875" customWidth="1"/>
    <col min="13" max="13" width="12.28515625" bestFit="1" customWidth="1"/>
  </cols>
  <sheetData>
    <row r="1" spans="2:12" x14ac:dyDescent="0.2">
      <c r="K1" s="1" t="s">
        <v>47</v>
      </c>
    </row>
    <row r="2" spans="2:12" x14ac:dyDescent="0.2">
      <c r="L2" s="1"/>
    </row>
    <row r="3" spans="2:12" ht="18" x14ac:dyDescent="0.25">
      <c r="B3" s="161" t="s">
        <v>65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2:12" ht="15.75" x14ac:dyDescent="0.25">
      <c r="B4" s="141" t="s">
        <v>45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6" spans="2:12" ht="6" customHeight="1" x14ac:dyDescent="0.2"/>
    <row r="7" spans="2:12" ht="18" x14ac:dyDescent="0.25">
      <c r="B7" s="44" t="s">
        <v>21</v>
      </c>
      <c r="C7" s="44"/>
      <c r="D7" s="44"/>
      <c r="E7" s="42">
        <v>1000</v>
      </c>
    </row>
    <row r="8" spans="2:12" ht="18" x14ac:dyDescent="0.25">
      <c r="B8" s="168" t="s">
        <v>22</v>
      </c>
      <c r="C8" s="168"/>
      <c r="D8" s="168"/>
      <c r="E8" s="40">
        <v>30</v>
      </c>
      <c r="F8" s="76" t="s">
        <v>17</v>
      </c>
      <c r="H8" s="49"/>
    </row>
    <row r="9" spans="2:12" ht="18" x14ac:dyDescent="0.25">
      <c r="B9" s="168" t="s">
        <v>23</v>
      </c>
      <c r="C9" s="168"/>
      <c r="D9" s="168"/>
      <c r="E9" s="40" t="s">
        <v>52</v>
      </c>
      <c r="F9" s="41"/>
    </row>
    <row r="10" spans="2:12" ht="18" x14ac:dyDescent="0.25">
      <c r="B10" s="81"/>
      <c r="C10" s="81" t="s">
        <v>68</v>
      </c>
      <c r="D10" s="81"/>
      <c r="E10" s="80">
        <v>0</v>
      </c>
      <c r="F10" s="41"/>
      <c r="I10" s="35"/>
    </row>
    <row r="11" spans="2:12" x14ac:dyDescent="0.2">
      <c r="B11" s="169" t="s">
        <v>9</v>
      </c>
      <c r="C11" s="169"/>
      <c r="D11" s="170"/>
      <c r="E11" s="28" t="s">
        <v>4</v>
      </c>
      <c r="F11" s="28" t="s">
        <v>5</v>
      </c>
      <c r="G11" s="28" t="s">
        <v>6</v>
      </c>
      <c r="H11" s="28" t="s">
        <v>7</v>
      </c>
    </row>
    <row r="12" spans="2:12" x14ac:dyDescent="0.2">
      <c r="B12" s="171" t="s">
        <v>8</v>
      </c>
      <c r="C12" s="171"/>
      <c r="D12" s="172"/>
      <c r="E12" s="29">
        <v>7.0000000000000007E-2</v>
      </c>
      <c r="F12" s="29">
        <v>0.06</v>
      </c>
      <c r="G12" s="29">
        <v>0.04</v>
      </c>
      <c r="H12" s="29">
        <v>0</v>
      </c>
    </row>
    <row r="13" spans="2:12" ht="13.5" thickBot="1" x14ac:dyDescent="0.25">
      <c r="C13" s="24"/>
      <c r="D13" s="45">
        <v>0.5</v>
      </c>
      <c r="E13" s="30"/>
      <c r="F13" s="30"/>
      <c r="G13" s="30"/>
      <c r="H13" s="30"/>
      <c r="I13" s="31"/>
      <c r="J13" s="31"/>
      <c r="K13" s="31"/>
      <c r="L13" s="31"/>
    </row>
    <row r="14" spans="2:12" ht="13.5" thickBot="1" x14ac:dyDescent="0.25">
      <c r="C14" s="2"/>
      <c r="D14" s="39"/>
      <c r="I14" s="162" t="s">
        <v>15</v>
      </c>
      <c r="J14" s="163"/>
      <c r="K14" s="163"/>
      <c r="L14" s="164"/>
    </row>
    <row r="15" spans="2:12" ht="13.5" thickBot="1" x14ac:dyDescent="0.25">
      <c r="B15" s="4" t="s">
        <v>1</v>
      </c>
      <c r="C15" s="74" t="s">
        <v>19</v>
      </c>
      <c r="D15" s="75" t="s">
        <v>20</v>
      </c>
      <c r="E15" s="165" t="s">
        <v>16</v>
      </c>
      <c r="F15" s="166"/>
      <c r="G15" s="166"/>
      <c r="H15" s="167"/>
      <c r="I15" s="4" t="s">
        <v>4</v>
      </c>
      <c r="J15" s="27" t="s">
        <v>5</v>
      </c>
      <c r="K15" s="5" t="s">
        <v>6</v>
      </c>
      <c r="L15" s="27" t="s">
        <v>7</v>
      </c>
    </row>
    <row r="16" spans="2:12" x14ac:dyDescent="0.2">
      <c r="B16" s="56">
        <v>12</v>
      </c>
      <c r="C16" s="47">
        <f>IF($E$9="H",+(VLOOKUP(B16,'CSO2001'!_xlnm.Print_Area,11)-VLOOKUP(B16+$E$8,'CSO2001'!_xlnm.Print_Area,11))/(VLOOKUP(B16,'CSO2001'!_xlnm.Print_Area,9)-VLOOKUP(B16+$E$8,'CSO2001'!_xlnm.Print_Area,9))*$E$7,+(VLOOKUP(B16-3,'CSO2001'!_xlnm.Print_Area,11)-VLOOKUP(B16-3+$E$8,'CSO2001'!_xlnm.Print_Area,11))/(VLOOKUP(B16-3,'CSO2001'!_xlnm.Print_Area,9)-VLOOKUP(B16-3+$E$8,'CSO2001'!_xlnm.Print_Area,9))*$E$7)*(1+$E$10)</f>
        <v>1.5355113944624008</v>
      </c>
      <c r="D16" s="48">
        <f>+C16/(1-$D$13)</f>
        <v>3.0710227889248016</v>
      </c>
      <c r="E16" s="48">
        <f>+$D16*(1+$E$12)</f>
        <v>3.285994384149538</v>
      </c>
      <c r="F16" s="48">
        <f>+$D16*(1+$F$12)</f>
        <v>3.2552841562602901</v>
      </c>
      <c r="G16" s="48">
        <f>+$D16*(1+$G$12)</f>
        <v>3.1938637004817938</v>
      </c>
      <c r="H16" s="48">
        <f>+$D16*(1+$H$12)</f>
        <v>3.0710227889248016</v>
      </c>
      <c r="I16" s="48">
        <f>+E16/12</f>
        <v>0.27383286534579482</v>
      </c>
      <c r="J16" s="48">
        <f>+F16/4</f>
        <v>0.81382103906507253</v>
      </c>
      <c r="K16" s="48">
        <f>+G16/2</f>
        <v>1.5969318502408969</v>
      </c>
      <c r="L16" s="48">
        <f>+H16</f>
        <v>3.0710227889248016</v>
      </c>
    </row>
    <row r="17" spans="2:13" x14ac:dyDescent="0.2">
      <c r="B17" s="56">
        <v>13</v>
      </c>
      <c r="C17" s="47">
        <f>IF($E$9="H",+(VLOOKUP(B17,'CSO2001'!_xlnm.Print_Area,11)-VLOOKUP(B17+$E$8,'CSO2001'!_xlnm.Print_Area,11))/(VLOOKUP(B17,'CSO2001'!_xlnm.Print_Area,9)-VLOOKUP(B17+$E$8,'CSO2001'!_xlnm.Print_Area,9))*$E$7,+(VLOOKUP(B17-3,'CSO2001'!_xlnm.Print_Area,11)-VLOOKUP(B17-3+$E$8,'CSO2001'!_xlnm.Print_Area,11))/(VLOOKUP(B17-3,'CSO2001'!_xlnm.Print_Area,9)-VLOOKUP(B17-3+$E$8,'CSO2001'!_xlnm.Print_Area,9))*$E$7)*(1+$E$10)</f>
        <v>1.6193646539649389</v>
      </c>
      <c r="D17" s="48">
        <f t="shared" ref="D17:D19" si="0">+C17/(1-$D$13)</f>
        <v>3.2387293079298778</v>
      </c>
      <c r="E17" s="48">
        <f t="shared" ref="E17:E19" si="1">+$D17*(1+$E$12)</f>
        <v>3.4654403594849694</v>
      </c>
      <c r="F17" s="48">
        <f t="shared" ref="F17:F19" si="2">+$D17*(1+$F$12)</f>
        <v>3.4330530664056704</v>
      </c>
      <c r="G17" s="48">
        <f t="shared" ref="G17:G19" si="3">+$D17*(1+$G$12)</f>
        <v>3.3682784802470729</v>
      </c>
      <c r="H17" s="48">
        <f t="shared" ref="H17:H19" si="4">+$D17*(1+$H$12)</f>
        <v>3.2387293079298778</v>
      </c>
      <c r="I17" s="48">
        <f t="shared" ref="I17:I19" si="5">+E17/12</f>
        <v>0.28878669662374745</v>
      </c>
      <c r="J17" s="48">
        <f t="shared" ref="J17:J19" si="6">+F17/4</f>
        <v>0.85826326660141761</v>
      </c>
      <c r="K17" s="48">
        <f t="shared" ref="K17:K19" si="7">+G17/2</f>
        <v>1.6841392401235364</v>
      </c>
      <c r="L17" s="48">
        <f t="shared" ref="L17:L19" si="8">+H17</f>
        <v>3.2387293079298778</v>
      </c>
    </row>
    <row r="18" spans="2:13" x14ac:dyDescent="0.2">
      <c r="B18" s="56">
        <v>14</v>
      </c>
      <c r="C18" s="47">
        <f>IF($E$9="H",+(VLOOKUP(B18,'CSO2001'!_xlnm.Print_Area,11)-VLOOKUP(B18+$E$8,'CSO2001'!_xlnm.Print_Area,11))/(VLOOKUP(B18,'CSO2001'!_xlnm.Print_Area,9)-VLOOKUP(B18+$E$8,'CSO2001'!_xlnm.Print_Area,9))*$E$7,+(VLOOKUP(B18-3,'CSO2001'!_xlnm.Print_Area,11)-VLOOKUP(B18-3+$E$8,'CSO2001'!_xlnm.Print_Area,11))/(VLOOKUP(B18-3,'CSO2001'!_xlnm.Print_Area,9)-VLOOKUP(B18-3+$E$8,'CSO2001'!_xlnm.Print_Area,9))*$E$7)*(1+$E$10)</f>
        <v>1.7070380001638357</v>
      </c>
      <c r="D18" s="48">
        <f t="shared" si="0"/>
        <v>3.4140760003276713</v>
      </c>
      <c r="E18" s="48">
        <f t="shared" si="1"/>
        <v>3.6530613203506084</v>
      </c>
      <c r="F18" s="48">
        <f t="shared" si="2"/>
        <v>3.6189205603473318</v>
      </c>
      <c r="G18" s="48">
        <f t="shared" si="3"/>
        <v>3.5506390403407782</v>
      </c>
      <c r="H18" s="48">
        <f t="shared" si="4"/>
        <v>3.4140760003276713</v>
      </c>
      <c r="I18" s="48">
        <f t="shared" si="5"/>
        <v>0.30442177669588405</v>
      </c>
      <c r="J18" s="48">
        <f t="shared" si="6"/>
        <v>0.90473014008683295</v>
      </c>
      <c r="K18" s="48">
        <f t="shared" si="7"/>
        <v>1.7753195201703891</v>
      </c>
      <c r="L18" s="48">
        <f t="shared" si="8"/>
        <v>3.4140760003276713</v>
      </c>
    </row>
    <row r="19" spans="2:13" x14ac:dyDescent="0.2">
      <c r="B19" s="56">
        <v>15</v>
      </c>
      <c r="C19" s="47">
        <f>IF($E$9="H",+(VLOOKUP(B19,'CSO2001'!_xlnm.Print_Area,11)-VLOOKUP(B19+$E$8,'CSO2001'!_xlnm.Print_Area,11))/(VLOOKUP(B19,'CSO2001'!_xlnm.Print_Area,9)-VLOOKUP(B19+$E$8,'CSO2001'!_xlnm.Print_Area,9))*$E$7,+(VLOOKUP(B19-3,'CSO2001'!_xlnm.Print_Area,11)-VLOOKUP(B19-3+$E$8,'CSO2001'!_xlnm.Print_Area,11))/(VLOOKUP(B19-3,'CSO2001'!_xlnm.Print_Area,9)-VLOOKUP(B19-3+$E$8,'CSO2001'!_xlnm.Print_Area,9))*$E$7)*(1+$E$10)</f>
        <v>1.7985870931086736</v>
      </c>
      <c r="D19" s="48">
        <f t="shared" si="0"/>
        <v>3.5971741862173472</v>
      </c>
      <c r="E19" s="48">
        <f t="shared" si="1"/>
        <v>3.8489763792525618</v>
      </c>
      <c r="F19" s="48">
        <f t="shared" si="2"/>
        <v>3.8130046373903883</v>
      </c>
      <c r="G19" s="48">
        <f t="shared" si="3"/>
        <v>3.7410611536660414</v>
      </c>
      <c r="H19" s="48">
        <f t="shared" si="4"/>
        <v>3.5971741862173472</v>
      </c>
      <c r="I19" s="48">
        <f t="shared" si="5"/>
        <v>0.32074803160438015</v>
      </c>
      <c r="J19" s="48">
        <f t="shared" si="6"/>
        <v>0.95325115934759708</v>
      </c>
      <c r="K19" s="48">
        <f t="shared" si="7"/>
        <v>1.8705305768330207</v>
      </c>
      <c r="L19" s="48">
        <f t="shared" si="8"/>
        <v>3.5971741862173472</v>
      </c>
    </row>
    <row r="20" spans="2:13" x14ac:dyDescent="0.2">
      <c r="B20" s="56">
        <v>16</v>
      </c>
      <c r="C20" s="47">
        <f>IF($E$9="H",+(VLOOKUP(B20,'CSO2001'!_xlnm.Print_Area,11)-VLOOKUP(B20+$E$8,'CSO2001'!_xlnm.Print_Area,11))/(VLOOKUP(B20,'CSO2001'!_xlnm.Print_Area,9)-VLOOKUP(B20+$E$8,'CSO2001'!_xlnm.Print_Area,9))*$E$7,+(VLOOKUP(B20-3,'CSO2001'!_xlnm.Print_Area,11)-VLOOKUP(B20-3+$E$8,'CSO2001'!_xlnm.Print_Area,11))/(VLOOKUP(B20-3,'CSO2001'!_xlnm.Print_Area,9)-VLOOKUP(B20-3+$E$8,'CSO2001'!_xlnm.Print_Area,9))*$E$7)*(1+$E$10)</f>
        <v>1.8898652714473239</v>
      </c>
      <c r="D20" s="48">
        <f>+C20/(1-$D$13)</f>
        <v>3.7797305428946477</v>
      </c>
      <c r="E20" s="48">
        <f>+$D20*(1+$E$12)</f>
        <v>4.0443116808972732</v>
      </c>
      <c r="F20" s="48">
        <f>+$D20*(1+$F$12)</f>
        <v>4.0065143754683268</v>
      </c>
      <c r="G20" s="48">
        <f>+$D20*(1+$G$12)</f>
        <v>3.9309197646104339</v>
      </c>
      <c r="H20" s="48">
        <f>+$D20*(1+$H$12)</f>
        <v>3.7797305428946477</v>
      </c>
      <c r="I20" s="48">
        <f>+E20/12</f>
        <v>0.33702597340810608</v>
      </c>
      <c r="J20" s="48">
        <f>+F20/4</f>
        <v>1.0016285938670817</v>
      </c>
      <c r="K20" s="48">
        <f>+G20/2</f>
        <v>1.965459882305217</v>
      </c>
      <c r="L20" s="48">
        <f>+H20</f>
        <v>3.7797305428946477</v>
      </c>
    </row>
    <row r="21" spans="2:13" x14ac:dyDescent="0.2">
      <c r="B21" s="56">
        <v>17</v>
      </c>
      <c r="C21" s="47">
        <f>IF($E$9="H",+(VLOOKUP(B21,'CSO2001'!_xlnm.Print_Area,11)-VLOOKUP(B21+$E$8,'CSO2001'!_xlnm.Print_Area,11))/(VLOOKUP(B21,'CSO2001'!_xlnm.Print_Area,9)-VLOOKUP(B21+$E$8,'CSO2001'!_xlnm.Print_Area,9))*$E$7,+(VLOOKUP(B21-3,'CSO2001'!_xlnm.Print_Area,11)-VLOOKUP(B21-3+$E$8,'CSO2001'!_xlnm.Print_Area,11))/(VLOOKUP(B21-3,'CSO2001'!_xlnm.Print_Area,9)-VLOOKUP(B21-3+$E$8,'CSO2001'!_xlnm.Print_Area,9))*$E$7)*(1+$E$10)</f>
        <v>1.9812997638738632</v>
      </c>
      <c r="D21" s="48">
        <f>+C21/(1-$D$13)</f>
        <v>3.9625995277477264</v>
      </c>
      <c r="E21" s="48">
        <f>+$D21*(1+$E$12)</f>
        <v>4.2399814946900678</v>
      </c>
      <c r="F21" s="48">
        <f>+$D21*(1+$F$12)</f>
        <v>4.2003554994125905</v>
      </c>
      <c r="G21" s="48">
        <f>+$D21*(1+$G$12)</f>
        <v>4.1211035088576358</v>
      </c>
      <c r="H21" s="48">
        <f>+$D21*(1+$H$12)</f>
        <v>3.9625995277477264</v>
      </c>
      <c r="I21" s="48">
        <f>+E21/12</f>
        <v>0.3533317912241723</v>
      </c>
      <c r="J21" s="48">
        <f>+F21/4</f>
        <v>1.0500888748531476</v>
      </c>
      <c r="K21" s="48">
        <f>+G21/2</f>
        <v>2.0605517544288179</v>
      </c>
      <c r="L21" s="48">
        <f>+H21</f>
        <v>3.9625995277477264</v>
      </c>
    </row>
    <row r="22" spans="2:13" x14ac:dyDescent="0.2">
      <c r="B22" s="26">
        <v>18</v>
      </c>
      <c r="C22" s="47">
        <f>IF($E$9="H",+(VLOOKUP(B22,'CSO2001'!_xlnm.Print_Area,11)-VLOOKUP(B22+$E$8,'CSO2001'!_xlnm.Print_Area,11))/(VLOOKUP(B22,'CSO2001'!_xlnm.Print_Area,9)-VLOOKUP(B22+$E$8,'CSO2001'!_xlnm.Print_Area,9))*$E$7,+(VLOOKUP(B22-3,'CSO2001'!_xlnm.Print_Area,11)-VLOOKUP(B22-3+$E$8,'CSO2001'!_xlnm.Print_Area,11))/(VLOOKUP(B22-3,'CSO2001'!_xlnm.Print_Area,9)-VLOOKUP(B22-3+$E$8,'CSO2001'!_xlnm.Print_Area,9))*$E$7)*(1+$E$10)</f>
        <v>2.073460866577002</v>
      </c>
      <c r="D22" s="48">
        <f>+C22/(1-$D$13)</f>
        <v>4.146921733154004</v>
      </c>
      <c r="E22" s="48">
        <f>+$D22*(1+$E$12)</f>
        <v>4.437206254474785</v>
      </c>
      <c r="F22" s="48">
        <f>+$D22*(1+$F$12)</f>
        <v>4.3957370371432445</v>
      </c>
      <c r="G22" s="48">
        <f>+$D22*(1+$G$12)</f>
        <v>4.3127986024801643</v>
      </c>
      <c r="H22" s="48">
        <f>+$D22*(1+$H$12)</f>
        <v>4.146921733154004</v>
      </c>
      <c r="I22" s="48">
        <f>+E22/12</f>
        <v>0.36976718787289875</v>
      </c>
      <c r="J22" s="48">
        <f>+F22/4</f>
        <v>1.0989342592858111</v>
      </c>
      <c r="K22" s="48">
        <f>+G22/2</f>
        <v>2.1563993012400822</v>
      </c>
      <c r="L22" s="48">
        <f>+H22</f>
        <v>4.146921733154004</v>
      </c>
    </row>
    <row r="23" spans="2:13" x14ac:dyDescent="0.2">
      <c r="B23" s="26">
        <f t="shared" ref="B23:B74" si="9">+B22+1</f>
        <v>19</v>
      </c>
      <c r="C23" s="47">
        <f>IF($E$9="H",+(VLOOKUP(B23,'CSO2001'!_xlnm.Print_Area,11)-VLOOKUP(B23+$E$8,'CSO2001'!_xlnm.Print_Area,11))/(VLOOKUP(B23,'CSO2001'!_xlnm.Print_Area,9)-VLOOKUP(B23+$E$8,'CSO2001'!_xlnm.Print_Area,9))*$E$7,+(VLOOKUP(B23-3,'CSO2001'!_xlnm.Print_Area,11)-VLOOKUP(B23-3+$E$8,'CSO2001'!_xlnm.Print_Area,11))/(VLOOKUP(B23-3,'CSO2001'!_xlnm.Print_Area,9)-VLOOKUP(B23-3+$E$8,'CSO2001'!_xlnm.Print_Area,9))*$E$7)*(1+$E$10)</f>
        <v>2.1677450024832714</v>
      </c>
      <c r="D23" s="48">
        <f t="shared" ref="D23:D69" si="10">+C23/(1-$D$13)</f>
        <v>4.3354900049665428</v>
      </c>
      <c r="E23" s="48">
        <f t="shared" ref="E23:E68" si="11">+$D23*(1+$E$12)</f>
        <v>4.6389743053142007</v>
      </c>
      <c r="F23" s="48">
        <f t="shared" ref="F23:F68" si="12">+$D23*(1+$F$12)</f>
        <v>4.5956194052645358</v>
      </c>
      <c r="G23" s="48">
        <f t="shared" ref="G23:G68" si="13">+$D23*(1+$G$12)</f>
        <v>4.5089096051652042</v>
      </c>
      <c r="H23" s="48">
        <f t="shared" ref="H23:H68" si="14">+$D23*(1+$H$12)</f>
        <v>4.3354900049665428</v>
      </c>
      <c r="I23" s="48">
        <f t="shared" ref="I23:I68" si="15">+E23/12</f>
        <v>0.38658119210951675</v>
      </c>
      <c r="J23" s="48">
        <f t="shared" ref="J23:J68" si="16">+F23/4</f>
        <v>1.148904851316134</v>
      </c>
      <c r="K23" s="48">
        <f t="shared" ref="K23:K68" si="17">+G23/2</f>
        <v>2.2544548025826021</v>
      </c>
      <c r="L23" s="48">
        <f t="shared" ref="L23:L68" si="18">+H23</f>
        <v>4.3354900049665428</v>
      </c>
    </row>
    <row r="24" spans="2:13" x14ac:dyDescent="0.2">
      <c r="B24" s="26">
        <f t="shared" si="9"/>
        <v>20</v>
      </c>
      <c r="C24" s="47">
        <f>IF($E$9="H",+(VLOOKUP(B24,'CSO2001'!_xlnm.Print_Area,11)-VLOOKUP(B24+$E$8,'CSO2001'!_xlnm.Print_Area,11))/(VLOOKUP(B24,'CSO2001'!_xlnm.Print_Area,9)-VLOOKUP(B24+$E$8,'CSO2001'!_xlnm.Print_Area,9))*$E$7,+(VLOOKUP(B24-3,'CSO2001'!_xlnm.Print_Area,11)-VLOOKUP(B24-3+$E$8,'CSO2001'!_xlnm.Print_Area,11))/(VLOOKUP(B24-3,'CSO2001'!_xlnm.Print_Area,9)-VLOOKUP(B24-3+$E$8,'CSO2001'!_xlnm.Print_Area,9))*$E$7)*(1+$E$10)</f>
        <v>2.2675614473405732</v>
      </c>
      <c r="D24" s="48">
        <f t="shared" si="10"/>
        <v>4.5351228946811464</v>
      </c>
      <c r="E24" s="48">
        <f t="shared" si="11"/>
        <v>4.8525814973088268</v>
      </c>
      <c r="F24" s="48">
        <f t="shared" si="12"/>
        <v>4.8072302683620158</v>
      </c>
      <c r="G24" s="48">
        <f t="shared" si="13"/>
        <v>4.7165278104683921</v>
      </c>
      <c r="H24" s="48">
        <f t="shared" si="14"/>
        <v>4.5351228946811464</v>
      </c>
      <c r="I24" s="48">
        <f t="shared" si="15"/>
        <v>0.40438179144240222</v>
      </c>
      <c r="J24" s="48">
        <f t="shared" si="16"/>
        <v>1.201807567090504</v>
      </c>
      <c r="K24" s="48">
        <f t="shared" si="17"/>
        <v>2.358263905234196</v>
      </c>
      <c r="L24" s="48">
        <f t="shared" si="18"/>
        <v>4.5351228946811464</v>
      </c>
      <c r="M24" s="25"/>
    </row>
    <row r="25" spans="2:13" x14ac:dyDescent="0.2">
      <c r="B25" s="26">
        <f t="shared" si="9"/>
        <v>21</v>
      </c>
      <c r="C25" s="47">
        <f>IF($E$9="H",+(VLOOKUP(B25,'CSO2001'!_xlnm.Print_Area,11)-VLOOKUP(B25+$E$8,'CSO2001'!_xlnm.Print_Area,11))/(VLOOKUP(B25,'CSO2001'!_xlnm.Print_Area,9)-VLOOKUP(B25+$E$8,'CSO2001'!_xlnm.Print_Area,9))*$E$7,+(VLOOKUP(B25-3,'CSO2001'!_xlnm.Print_Area,11)-VLOOKUP(B25-3+$E$8,'CSO2001'!_xlnm.Print_Area,11))/(VLOOKUP(B25-3,'CSO2001'!_xlnm.Print_Area,9)-VLOOKUP(B25-3+$E$8,'CSO2001'!_xlnm.Print_Area,9))*$E$7)*(1+$E$10)</f>
        <v>2.3762308721494847</v>
      </c>
      <c r="D25" s="48">
        <f t="shared" si="10"/>
        <v>4.7524617442989694</v>
      </c>
      <c r="E25" s="48">
        <f t="shared" si="11"/>
        <v>5.0851340663998972</v>
      </c>
      <c r="F25" s="48">
        <f t="shared" si="12"/>
        <v>5.0376094489569079</v>
      </c>
      <c r="G25" s="48">
        <f t="shared" si="13"/>
        <v>4.9425602140709284</v>
      </c>
      <c r="H25" s="48">
        <f t="shared" si="14"/>
        <v>4.7524617442989694</v>
      </c>
      <c r="I25" s="48">
        <f t="shared" si="15"/>
        <v>0.42376117219999143</v>
      </c>
      <c r="J25" s="48">
        <f t="shared" si="16"/>
        <v>1.259402362239227</v>
      </c>
      <c r="K25" s="48">
        <f t="shared" si="17"/>
        <v>2.4712801070354642</v>
      </c>
      <c r="L25" s="48">
        <f t="shared" si="18"/>
        <v>4.7524617442989694</v>
      </c>
    </row>
    <row r="26" spans="2:13" x14ac:dyDescent="0.2">
      <c r="B26" s="26">
        <f t="shared" si="9"/>
        <v>22</v>
      </c>
      <c r="C26" s="47">
        <f>IF($E$9="H",+(VLOOKUP(B26,'CSO2001'!_xlnm.Print_Area,11)-VLOOKUP(B26+$E$8,'CSO2001'!_xlnm.Print_Area,11))/(VLOOKUP(B26,'CSO2001'!_xlnm.Print_Area,9)-VLOOKUP(B26+$E$8,'CSO2001'!_xlnm.Print_Area,9))*$E$7,+(VLOOKUP(B26-3,'CSO2001'!_xlnm.Print_Area,11)-VLOOKUP(B26-3+$E$8,'CSO2001'!_xlnm.Print_Area,11))/(VLOOKUP(B26-3,'CSO2001'!_xlnm.Print_Area,9)-VLOOKUP(B26-3+$E$8,'CSO2001'!_xlnm.Print_Area,9))*$E$7)*(1+$E$10)</f>
        <v>2.4974744632868981</v>
      </c>
      <c r="D26" s="48">
        <f t="shared" si="10"/>
        <v>4.9949489265737963</v>
      </c>
      <c r="E26" s="48">
        <f t="shared" si="11"/>
        <v>5.3445953514339619</v>
      </c>
      <c r="F26" s="48">
        <f t="shared" si="12"/>
        <v>5.294645862168224</v>
      </c>
      <c r="G26" s="48">
        <f t="shared" si="13"/>
        <v>5.1947468836367481</v>
      </c>
      <c r="H26" s="48">
        <f t="shared" si="14"/>
        <v>4.9949489265737963</v>
      </c>
      <c r="I26" s="48">
        <f t="shared" si="15"/>
        <v>0.44538294595283018</v>
      </c>
      <c r="J26" s="48">
        <f t="shared" si="16"/>
        <v>1.323661465542056</v>
      </c>
      <c r="K26" s="48">
        <f t="shared" si="17"/>
        <v>2.597373441818374</v>
      </c>
      <c r="L26" s="48">
        <f t="shared" si="18"/>
        <v>4.9949489265737963</v>
      </c>
    </row>
    <row r="27" spans="2:13" x14ac:dyDescent="0.2">
      <c r="B27" s="26">
        <f t="shared" si="9"/>
        <v>23</v>
      </c>
      <c r="C27" s="47">
        <f>IF($E$9="H",+(VLOOKUP(B27,'CSO2001'!_xlnm.Print_Area,11)-VLOOKUP(B27+$E$8,'CSO2001'!_xlnm.Print_Area,11))/(VLOOKUP(B27,'CSO2001'!_xlnm.Print_Area,9)-VLOOKUP(B27+$E$8,'CSO2001'!_xlnm.Print_Area,9))*$E$7,+(VLOOKUP(B27-3,'CSO2001'!_xlnm.Print_Area,11)-VLOOKUP(B27-3+$E$8,'CSO2001'!_xlnm.Print_Area,11))/(VLOOKUP(B27-3,'CSO2001'!_xlnm.Print_Area,9)-VLOOKUP(B27-3+$E$8,'CSO2001'!_xlnm.Print_Area,9))*$E$7)*(1+$E$10)</f>
        <v>2.6333916827684023</v>
      </c>
      <c r="D27" s="48">
        <f t="shared" si="10"/>
        <v>5.2667833655368046</v>
      </c>
      <c r="E27" s="48">
        <f t="shared" si="11"/>
        <v>5.635458201124381</v>
      </c>
      <c r="F27" s="48">
        <f t="shared" si="12"/>
        <v>5.5827903674690136</v>
      </c>
      <c r="G27" s="48">
        <f t="shared" si="13"/>
        <v>5.477454700158277</v>
      </c>
      <c r="H27" s="48">
        <f t="shared" si="14"/>
        <v>5.2667833655368046</v>
      </c>
      <c r="I27" s="48">
        <f t="shared" si="15"/>
        <v>0.46962151676036507</v>
      </c>
      <c r="J27" s="48">
        <f t="shared" si="16"/>
        <v>1.3956975918672534</v>
      </c>
      <c r="K27" s="48">
        <f t="shared" si="17"/>
        <v>2.7387273500791385</v>
      </c>
      <c r="L27" s="48">
        <f t="shared" si="18"/>
        <v>5.2667833655368046</v>
      </c>
    </row>
    <row r="28" spans="2:13" x14ac:dyDescent="0.2">
      <c r="B28" s="26">
        <f t="shared" si="9"/>
        <v>24</v>
      </c>
      <c r="C28" s="47">
        <f>IF($E$9="H",+(VLOOKUP(B28,'CSO2001'!_xlnm.Print_Area,11)-VLOOKUP(B28+$E$8,'CSO2001'!_xlnm.Print_Area,11))/(VLOOKUP(B28,'CSO2001'!_xlnm.Print_Area,9)-VLOOKUP(B28+$E$8,'CSO2001'!_xlnm.Print_Area,9))*$E$7,+(VLOOKUP(B28-3,'CSO2001'!_xlnm.Print_Area,11)-VLOOKUP(B28-3+$E$8,'CSO2001'!_xlnm.Print_Area,11))/(VLOOKUP(B28-3,'CSO2001'!_xlnm.Print_Area,9)-VLOOKUP(B28-3+$E$8,'CSO2001'!_xlnm.Print_Area,9))*$E$7)*(1+$E$10)</f>
        <v>2.7866953922055808</v>
      </c>
      <c r="D28" s="48">
        <f t="shared" si="10"/>
        <v>5.5733907844111616</v>
      </c>
      <c r="E28" s="48">
        <f t="shared" si="11"/>
        <v>5.9635281393199433</v>
      </c>
      <c r="F28" s="48">
        <f t="shared" si="12"/>
        <v>5.9077942314758314</v>
      </c>
      <c r="G28" s="48">
        <f t="shared" si="13"/>
        <v>5.7963264157876084</v>
      </c>
      <c r="H28" s="48">
        <f t="shared" si="14"/>
        <v>5.5733907844111616</v>
      </c>
      <c r="I28" s="48">
        <f t="shared" si="15"/>
        <v>0.49696067827666196</v>
      </c>
      <c r="J28" s="48">
        <f t="shared" si="16"/>
        <v>1.4769485578689578</v>
      </c>
      <c r="K28" s="48">
        <f t="shared" si="17"/>
        <v>2.8981632078938042</v>
      </c>
      <c r="L28" s="48">
        <f t="shared" si="18"/>
        <v>5.5733907844111616</v>
      </c>
    </row>
    <row r="29" spans="2:13" x14ac:dyDescent="0.2">
      <c r="B29" s="26">
        <f t="shared" si="9"/>
        <v>25</v>
      </c>
      <c r="C29" s="47">
        <f>IF($E$9="H",+(VLOOKUP(B29,'CSO2001'!_xlnm.Print_Area,11)-VLOOKUP(B29+$E$8,'CSO2001'!_xlnm.Print_Area,11))/(VLOOKUP(B29,'CSO2001'!_xlnm.Print_Area,9)-VLOOKUP(B29+$E$8,'CSO2001'!_xlnm.Print_Area,9))*$E$7,+(VLOOKUP(B29-3,'CSO2001'!_xlnm.Print_Area,11)-VLOOKUP(B29-3+$E$8,'CSO2001'!_xlnm.Print_Area,11))/(VLOOKUP(B29-3,'CSO2001'!_xlnm.Print_Area,9)-VLOOKUP(B29-3+$E$8,'CSO2001'!_xlnm.Print_Area,9))*$E$7)*(1+$E$10)</f>
        <v>2.960351449362371</v>
      </c>
      <c r="D29" s="48">
        <f t="shared" si="10"/>
        <v>5.9207028987247421</v>
      </c>
      <c r="E29" s="48">
        <f t="shared" si="11"/>
        <v>6.3351521016354742</v>
      </c>
      <c r="F29" s="48">
        <f t="shared" si="12"/>
        <v>6.2759450726482271</v>
      </c>
      <c r="G29" s="48">
        <f t="shared" si="13"/>
        <v>6.1575310146737321</v>
      </c>
      <c r="H29" s="48">
        <f t="shared" si="14"/>
        <v>5.9207028987247421</v>
      </c>
      <c r="I29" s="48">
        <f>+E29/12</f>
        <v>0.52792934180295614</v>
      </c>
      <c r="J29" s="48">
        <f>+F29/4</f>
        <v>1.5689862681620568</v>
      </c>
      <c r="K29" s="48">
        <f>+G29/2</f>
        <v>3.078765507336866</v>
      </c>
      <c r="L29" s="48">
        <f>+H29</f>
        <v>5.9207028987247421</v>
      </c>
    </row>
    <row r="30" spans="2:13" x14ac:dyDescent="0.2">
      <c r="B30" s="26">
        <f t="shared" si="9"/>
        <v>26</v>
      </c>
      <c r="C30" s="47">
        <f>IF($E$9="H",+(VLOOKUP(B30,'CSO2001'!_xlnm.Print_Area,11)-VLOOKUP(B30+$E$8,'CSO2001'!_xlnm.Print_Area,11))/(VLOOKUP(B30,'CSO2001'!_xlnm.Print_Area,9)-VLOOKUP(B30+$E$8,'CSO2001'!_xlnm.Print_Area,9))*$E$7,+(VLOOKUP(B30-3,'CSO2001'!_xlnm.Print_Area,11)-VLOOKUP(B30-3+$E$8,'CSO2001'!_xlnm.Print_Area,11))/(VLOOKUP(B30-3,'CSO2001'!_xlnm.Print_Area,9)-VLOOKUP(B30-3+$E$8,'CSO2001'!_xlnm.Print_Area,9))*$E$7)*(1+$E$10)</f>
        <v>3.1578533415302648</v>
      </c>
      <c r="D30" s="48">
        <f t="shared" si="10"/>
        <v>6.3157066830605295</v>
      </c>
      <c r="E30" s="48">
        <f t="shared" si="11"/>
        <v>6.7578061508747673</v>
      </c>
      <c r="F30" s="48">
        <f t="shared" si="12"/>
        <v>6.6946490840441619</v>
      </c>
      <c r="G30" s="48">
        <f t="shared" si="13"/>
        <v>6.5683349503829511</v>
      </c>
      <c r="H30" s="48">
        <f t="shared" si="14"/>
        <v>6.3157066830605295</v>
      </c>
      <c r="I30" s="48">
        <f t="shared" si="15"/>
        <v>0.56315051257289728</v>
      </c>
      <c r="J30" s="48">
        <f t="shared" si="16"/>
        <v>1.6736622710110405</v>
      </c>
      <c r="K30" s="48">
        <f t="shared" si="17"/>
        <v>3.2841674751914756</v>
      </c>
      <c r="L30" s="48">
        <f t="shared" si="18"/>
        <v>6.3157066830605295</v>
      </c>
    </row>
    <row r="31" spans="2:13" x14ac:dyDescent="0.2">
      <c r="B31" s="26">
        <f t="shared" si="9"/>
        <v>27</v>
      </c>
      <c r="C31" s="47">
        <f>IF($E$9="H",+(VLOOKUP(B31,'CSO2001'!_xlnm.Print_Area,11)-VLOOKUP(B31+$E$8,'CSO2001'!_xlnm.Print_Area,11))/(VLOOKUP(B31,'CSO2001'!_xlnm.Print_Area,9)-VLOOKUP(B31+$E$8,'CSO2001'!_xlnm.Print_Area,9))*$E$7,+(VLOOKUP(B31-3,'CSO2001'!_xlnm.Print_Area,11)-VLOOKUP(B31-3+$E$8,'CSO2001'!_xlnm.Print_Area,11))/(VLOOKUP(B31-3,'CSO2001'!_xlnm.Print_Area,9)-VLOOKUP(B31-3+$E$8,'CSO2001'!_xlnm.Print_Area,9))*$E$7)*(1+$E$10)</f>
        <v>3.3784578202588529</v>
      </c>
      <c r="D31" s="48">
        <f t="shared" si="10"/>
        <v>6.7569156405177058</v>
      </c>
      <c r="E31" s="48">
        <f t="shared" si="11"/>
        <v>7.2298997353539454</v>
      </c>
      <c r="F31" s="48">
        <f t="shared" si="12"/>
        <v>7.1623305789487688</v>
      </c>
      <c r="G31" s="48">
        <f t="shared" si="13"/>
        <v>7.0271922661384139</v>
      </c>
      <c r="H31" s="48">
        <f t="shared" si="14"/>
        <v>6.7569156405177058</v>
      </c>
      <c r="I31" s="48">
        <f t="shared" si="15"/>
        <v>0.60249164461282878</v>
      </c>
      <c r="J31" s="48">
        <f t="shared" si="16"/>
        <v>1.7905826447371922</v>
      </c>
      <c r="K31" s="48">
        <f t="shared" si="17"/>
        <v>3.5135961330692069</v>
      </c>
      <c r="L31" s="48">
        <f t="shared" si="18"/>
        <v>6.7569156405177058</v>
      </c>
    </row>
    <row r="32" spans="2:13" x14ac:dyDescent="0.2">
      <c r="B32" s="26">
        <f t="shared" si="9"/>
        <v>28</v>
      </c>
      <c r="C32" s="47">
        <f>IF($E$9="H",+(VLOOKUP(B32,'CSO2001'!_xlnm.Print_Area,11)-VLOOKUP(B32+$E$8,'CSO2001'!_xlnm.Print_Area,11))/(VLOOKUP(B32,'CSO2001'!_xlnm.Print_Area,9)-VLOOKUP(B32+$E$8,'CSO2001'!_xlnm.Print_Area,9))*$E$7,+(VLOOKUP(B32-3,'CSO2001'!_xlnm.Print_Area,11)-VLOOKUP(B32-3+$E$8,'CSO2001'!_xlnm.Print_Area,11))/(VLOOKUP(B32-3,'CSO2001'!_xlnm.Print_Area,9)-VLOOKUP(B32-3+$E$8,'CSO2001'!_xlnm.Print_Area,9))*$E$7)*(1+$E$10)</f>
        <v>3.6240892609431081</v>
      </c>
      <c r="D32" s="48">
        <f t="shared" si="10"/>
        <v>7.2481785218862163</v>
      </c>
      <c r="E32" s="48">
        <f t="shared" si="11"/>
        <v>7.7555510184182515</v>
      </c>
      <c r="F32" s="48">
        <f t="shared" si="12"/>
        <v>7.6830692331993893</v>
      </c>
      <c r="G32" s="48">
        <f t="shared" si="13"/>
        <v>7.5381056627616649</v>
      </c>
      <c r="H32" s="48">
        <f t="shared" si="14"/>
        <v>7.2481785218862163</v>
      </c>
      <c r="I32" s="48">
        <f t="shared" si="15"/>
        <v>0.64629591820152099</v>
      </c>
      <c r="J32" s="48">
        <f t="shared" si="16"/>
        <v>1.9207673082998473</v>
      </c>
      <c r="K32" s="48">
        <f t="shared" si="17"/>
        <v>3.7690528313808325</v>
      </c>
      <c r="L32" s="48">
        <f t="shared" si="18"/>
        <v>7.2481785218862163</v>
      </c>
    </row>
    <row r="33" spans="1:18" x14ac:dyDescent="0.2">
      <c r="B33" s="26">
        <f t="shared" si="9"/>
        <v>29</v>
      </c>
      <c r="C33" s="47">
        <f>IF($E$9="H",+(VLOOKUP(B33,'CSO2001'!_xlnm.Print_Area,11)-VLOOKUP(B33+$E$8,'CSO2001'!_xlnm.Print_Area,11))/(VLOOKUP(B33,'CSO2001'!_xlnm.Print_Area,9)-VLOOKUP(B33+$E$8,'CSO2001'!_xlnm.Print_Area,9))*$E$7,+(VLOOKUP(B33-3,'CSO2001'!_xlnm.Print_Area,11)-VLOOKUP(B33-3+$E$8,'CSO2001'!_xlnm.Print_Area,11))/(VLOOKUP(B33-3,'CSO2001'!_xlnm.Print_Area,9)-VLOOKUP(B33-3+$E$8,'CSO2001'!_xlnm.Print_Area,9))*$E$7)*(1+$E$10)</f>
        <v>3.8954516007871889</v>
      </c>
      <c r="D33" s="48">
        <f t="shared" si="10"/>
        <v>7.7909032015743778</v>
      </c>
      <c r="E33" s="48">
        <f t="shared" si="11"/>
        <v>8.3362664256845846</v>
      </c>
      <c r="F33" s="48">
        <f t="shared" si="12"/>
        <v>8.2583573936688417</v>
      </c>
      <c r="G33" s="48">
        <f t="shared" si="13"/>
        <v>8.102539329637354</v>
      </c>
      <c r="H33" s="48">
        <f t="shared" si="14"/>
        <v>7.7909032015743778</v>
      </c>
      <c r="I33" s="48">
        <f t="shared" si="15"/>
        <v>0.69468886880704872</v>
      </c>
      <c r="J33" s="48">
        <f t="shared" si="16"/>
        <v>2.0645893484172104</v>
      </c>
      <c r="K33" s="48">
        <f t="shared" si="17"/>
        <v>4.051269664818677</v>
      </c>
      <c r="L33" s="48">
        <f t="shared" si="18"/>
        <v>7.7909032015743778</v>
      </c>
    </row>
    <row r="34" spans="1:18" x14ac:dyDescent="0.2">
      <c r="A34" s="25"/>
      <c r="B34" s="26">
        <f t="shared" si="9"/>
        <v>30</v>
      </c>
      <c r="C34" s="47">
        <f>IF($E$9="H",+(VLOOKUP(B34,'CSO2001'!_xlnm.Print_Area,11)-VLOOKUP(B34+$E$8,'CSO2001'!_xlnm.Print_Area,11))/(VLOOKUP(B34,'CSO2001'!_xlnm.Print_Area,9)-VLOOKUP(B34+$E$8,'CSO2001'!_xlnm.Print_Area,9))*$E$7,+(VLOOKUP(B34-3,'CSO2001'!_xlnm.Print_Area,11)-VLOOKUP(B34-3+$E$8,'CSO2001'!_xlnm.Print_Area,11))/(VLOOKUP(B34-3,'CSO2001'!_xlnm.Print_Area,9)-VLOOKUP(B34-3+$E$8,'CSO2001'!_xlnm.Print_Area,9))*$E$7)*(1+$E$10)</f>
        <v>4.1974247060699446</v>
      </c>
      <c r="D34" s="48">
        <f t="shared" si="10"/>
        <v>8.3948494121398891</v>
      </c>
      <c r="E34" s="48">
        <f>+$D34*(1+$E$12)</f>
        <v>8.9824888709896822</v>
      </c>
      <c r="F34" s="48">
        <f>+$D34*(1+$F$12)</f>
        <v>8.8985403768682829</v>
      </c>
      <c r="G34" s="48">
        <f>+$D34*(1+$G$12)</f>
        <v>8.7306433886254844</v>
      </c>
      <c r="H34" s="48">
        <f>+$D34*(1+$H$12)</f>
        <v>8.3948494121398891</v>
      </c>
      <c r="I34" s="48">
        <f>+E34/12</f>
        <v>0.74854073924914022</v>
      </c>
      <c r="J34" s="48">
        <f>+F34/4</f>
        <v>2.2246350942170707</v>
      </c>
      <c r="K34" s="48">
        <f>+G34/2</f>
        <v>4.3653216943127422</v>
      </c>
      <c r="L34" s="48">
        <f>+H34</f>
        <v>8.3948494121398891</v>
      </c>
      <c r="M34" s="35"/>
      <c r="N34" s="35" t="e">
        <f>+#REF!/#REF!</f>
        <v>#REF!</v>
      </c>
      <c r="O34" s="35"/>
      <c r="P34" s="35"/>
      <c r="Q34" s="35"/>
      <c r="R34" s="35"/>
    </row>
    <row r="35" spans="1:18" x14ac:dyDescent="0.2">
      <c r="B35" s="26">
        <f t="shared" si="9"/>
        <v>31</v>
      </c>
      <c r="C35" s="47">
        <f>IF($E$9="H",+(VLOOKUP(B35,'CSO2001'!_xlnm.Print_Area,11)-VLOOKUP(B35+$E$8,'CSO2001'!_xlnm.Print_Area,11))/(VLOOKUP(B35,'CSO2001'!_xlnm.Print_Area,9)-VLOOKUP(B35+$E$8,'CSO2001'!_xlnm.Print_Area,9))*$E$7,+(VLOOKUP(B35-3,'CSO2001'!_xlnm.Print_Area,11)-VLOOKUP(B35-3+$E$8,'CSO2001'!_xlnm.Print_Area,11))/(VLOOKUP(B35-3,'CSO2001'!_xlnm.Print_Area,9)-VLOOKUP(B35-3+$E$8,'CSO2001'!_xlnm.Print_Area,9))*$E$7)*(1+$E$10)</f>
        <v>4.5342508540447204</v>
      </c>
      <c r="D35" s="48">
        <f t="shared" si="10"/>
        <v>9.0685017080894408</v>
      </c>
      <c r="E35" s="48">
        <f t="shared" si="11"/>
        <v>9.7032968276557021</v>
      </c>
      <c r="F35" s="48">
        <f t="shared" si="12"/>
        <v>9.6126118105748084</v>
      </c>
      <c r="G35" s="48">
        <f t="shared" si="13"/>
        <v>9.4312417764130192</v>
      </c>
      <c r="H35" s="48">
        <f t="shared" si="14"/>
        <v>9.0685017080894408</v>
      </c>
      <c r="I35" s="48">
        <f t="shared" si="15"/>
        <v>0.80860806897130855</v>
      </c>
      <c r="J35" s="48">
        <f t="shared" si="16"/>
        <v>2.4031529526437021</v>
      </c>
      <c r="K35" s="48">
        <f t="shared" si="17"/>
        <v>4.7156208882065096</v>
      </c>
      <c r="L35" s="48">
        <f t="shared" si="18"/>
        <v>9.0685017080894408</v>
      </c>
      <c r="M35" s="35"/>
      <c r="N35" s="35" t="e">
        <f>+N34/2</f>
        <v>#REF!</v>
      </c>
      <c r="O35" s="35"/>
      <c r="P35" s="35"/>
      <c r="Q35" s="35"/>
      <c r="R35" s="35"/>
    </row>
    <row r="36" spans="1:18" x14ac:dyDescent="0.2">
      <c r="B36" s="26">
        <f t="shared" si="9"/>
        <v>32</v>
      </c>
      <c r="C36" s="47">
        <f>IF($E$9="H",+(VLOOKUP(B36,'CSO2001'!_xlnm.Print_Area,11)-VLOOKUP(B36+$E$8,'CSO2001'!_xlnm.Print_Area,11))/(VLOOKUP(B36,'CSO2001'!_xlnm.Print_Area,9)-VLOOKUP(B36+$E$8,'CSO2001'!_xlnm.Print_Area,9))*$E$7,+(VLOOKUP(B36-3,'CSO2001'!_xlnm.Print_Area,11)-VLOOKUP(B36-3+$E$8,'CSO2001'!_xlnm.Print_Area,11))/(VLOOKUP(B36-3,'CSO2001'!_xlnm.Print_Area,9)-VLOOKUP(B36-3+$E$8,'CSO2001'!_xlnm.Print_Area,9))*$E$7)*(1+$E$10)</f>
        <v>4.9126948224790992</v>
      </c>
      <c r="D36" s="48">
        <f t="shared" si="10"/>
        <v>9.8253896449581983</v>
      </c>
      <c r="E36" s="48">
        <f t="shared" si="11"/>
        <v>10.513166920105272</v>
      </c>
      <c r="F36" s="48">
        <f t="shared" si="12"/>
        <v>10.414913023655691</v>
      </c>
      <c r="G36" s="48">
        <f t="shared" si="13"/>
        <v>10.218405230756527</v>
      </c>
      <c r="H36" s="48">
        <f t="shared" si="14"/>
        <v>9.8253896449581983</v>
      </c>
      <c r="I36" s="48">
        <f t="shared" si="15"/>
        <v>0.87609724334210604</v>
      </c>
      <c r="J36" s="48">
        <f t="shared" si="16"/>
        <v>2.6037282559139228</v>
      </c>
      <c r="K36" s="48">
        <f t="shared" si="17"/>
        <v>5.1092026153782637</v>
      </c>
      <c r="L36" s="48">
        <f t="shared" si="18"/>
        <v>9.8253896449581983</v>
      </c>
      <c r="M36" s="35"/>
      <c r="N36" s="35"/>
      <c r="O36" s="35"/>
      <c r="P36" s="35"/>
      <c r="Q36" s="35"/>
      <c r="R36" s="35"/>
    </row>
    <row r="37" spans="1:18" x14ac:dyDescent="0.2">
      <c r="B37" s="26">
        <f t="shared" si="9"/>
        <v>33</v>
      </c>
      <c r="C37" s="47">
        <f>IF($E$9="H",+(VLOOKUP(B37,'CSO2001'!_xlnm.Print_Area,11)-VLOOKUP(B37+$E$8,'CSO2001'!_xlnm.Print_Area,11))/(VLOOKUP(B37,'CSO2001'!_xlnm.Print_Area,9)-VLOOKUP(B37+$E$8,'CSO2001'!_xlnm.Print_Area,9))*$E$7,+(VLOOKUP(B37-3,'CSO2001'!_xlnm.Print_Area,11)-VLOOKUP(B37-3+$E$8,'CSO2001'!_xlnm.Print_Area,11))/(VLOOKUP(B37-3,'CSO2001'!_xlnm.Print_Area,9)-VLOOKUP(B37-3+$E$8,'CSO2001'!_xlnm.Print_Area,9))*$E$7)*(1+$E$10)</f>
        <v>5.3392184374269691</v>
      </c>
      <c r="D37" s="48">
        <f t="shared" si="10"/>
        <v>10.678436874853938</v>
      </c>
      <c r="E37" s="48">
        <f t="shared" si="11"/>
        <v>11.425927456093715</v>
      </c>
      <c r="F37" s="48">
        <f t="shared" si="12"/>
        <v>11.319143087345175</v>
      </c>
      <c r="G37" s="48">
        <f t="shared" si="13"/>
        <v>11.105574349848096</v>
      </c>
      <c r="H37" s="48">
        <f t="shared" si="14"/>
        <v>10.678436874853938</v>
      </c>
      <c r="I37" s="48">
        <f t="shared" si="15"/>
        <v>0.95216062134114299</v>
      </c>
      <c r="J37" s="48">
        <f t="shared" si="16"/>
        <v>2.8297857718362938</v>
      </c>
      <c r="K37" s="48">
        <f t="shared" si="17"/>
        <v>5.5527871749240481</v>
      </c>
      <c r="L37" s="48">
        <f t="shared" si="18"/>
        <v>10.678436874853938</v>
      </c>
      <c r="M37" s="35"/>
      <c r="N37" s="35"/>
      <c r="O37" s="35"/>
      <c r="P37" s="35"/>
      <c r="Q37" s="35"/>
      <c r="R37" s="35"/>
    </row>
    <row r="38" spans="1:18" x14ac:dyDescent="0.2">
      <c r="B38" s="26">
        <f t="shared" si="9"/>
        <v>34</v>
      </c>
      <c r="C38" s="47">
        <f>IF($E$9="H",+(VLOOKUP(B38,'CSO2001'!_xlnm.Print_Area,11)-VLOOKUP(B38+$E$8,'CSO2001'!_xlnm.Print_Area,11))/(VLOOKUP(B38,'CSO2001'!_xlnm.Print_Area,9)-VLOOKUP(B38+$E$8,'CSO2001'!_xlnm.Print_Area,9))*$E$7,+(VLOOKUP(B38-3,'CSO2001'!_xlnm.Print_Area,11)-VLOOKUP(B38-3+$E$8,'CSO2001'!_xlnm.Print_Area,11))/(VLOOKUP(B38-3,'CSO2001'!_xlnm.Print_Area,9)-VLOOKUP(B38-3+$E$8,'CSO2001'!_xlnm.Print_Area,9))*$E$7)*(1+$E$10)</f>
        <v>5.8170786813251434</v>
      </c>
      <c r="D38" s="48">
        <f t="shared" si="10"/>
        <v>11.634157362650287</v>
      </c>
      <c r="E38" s="48">
        <f t="shared" si="11"/>
        <v>12.448548378035808</v>
      </c>
      <c r="F38" s="48">
        <f t="shared" si="12"/>
        <v>12.332206804409305</v>
      </c>
      <c r="G38" s="48">
        <f t="shared" si="13"/>
        <v>12.099523657156299</v>
      </c>
      <c r="H38" s="48">
        <f t="shared" si="14"/>
        <v>11.634157362650287</v>
      </c>
      <c r="I38" s="48">
        <f t="shared" si="15"/>
        <v>1.0373790315029841</v>
      </c>
      <c r="J38" s="48">
        <f t="shared" si="16"/>
        <v>3.0830517011023262</v>
      </c>
      <c r="K38" s="48">
        <f t="shared" si="17"/>
        <v>6.0497618285781494</v>
      </c>
      <c r="L38" s="48">
        <f t="shared" si="18"/>
        <v>11.634157362650287</v>
      </c>
      <c r="M38" s="35"/>
      <c r="N38" s="35"/>
      <c r="O38" s="35"/>
      <c r="P38" s="35"/>
      <c r="Q38" s="35"/>
      <c r="R38" s="35"/>
    </row>
    <row r="39" spans="1:18" x14ac:dyDescent="0.2">
      <c r="B39" s="26">
        <f t="shared" si="9"/>
        <v>35</v>
      </c>
      <c r="C39" s="47">
        <f>IF($E$9="H",+(VLOOKUP(B39,'CSO2001'!_xlnm.Print_Area,11)-VLOOKUP(B39+$E$8,'CSO2001'!_xlnm.Print_Area,11))/(VLOOKUP(B39,'CSO2001'!_xlnm.Print_Area,9)-VLOOKUP(B39+$E$8,'CSO2001'!_xlnm.Print_Area,9))*$E$7,+(VLOOKUP(B39-3,'CSO2001'!_xlnm.Print_Area,11)-VLOOKUP(B39-3+$E$8,'CSO2001'!_xlnm.Print_Area,11))/(VLOOKUP(B39-3,'CSO2001'!_xlnm.Print_Area,9)-VLOOKUP(B39-3+$E$8,'CSO2001'!_xlnm.Print_Area,9))*$E$7)*(1+$E$10)</f>
        <v>6.3479964206464699</v>
      </c>
      <c r="D39" s="48">
        <f t="shared" si="10"/>
        <v>12.69599284129294</v>
      </c>
      <c r="E39" s="48">
        <f>+$D39*(1+$E$12)</f>
        <v>13.584712340183446</v>
      </c>
      <c r="F39" s="48">
        <f>+$D39*(1+$F$12)</f>
        <v>13.457752411770517</v>
      </c>
      <c r="G39" s="48">
        <f>+$D39*(1+$G$12)</f>
        <v>13.203832554944658</v>
      </c>
      <c r="H39" s="48">
        <f>+$D39*(1+$H$12)</f>
        <v>12.69599284129294</v>
      </c>
      <c r="I39" s="48">
        <f>+E39/12</f>
        <v>1.1320593616819539</v>
      </c>
      <c r="J39" s="48">
        <f>+F39/4</f>
        <v>3.3644381029426293</v>
      </c>
      <c r="K39" s="48">
        <f>+G39/2</f>
        <v>6.6019162774723288</v>
      </c>
      <c r="L39" s="48">
        <f>+H39</f>
        <v>12.69599284129294</v>
      </c>
      <c r="M39" s="35"/>
      <c r="N39" s="35"/>
      <c r="O39" s="35"/>
      <c r="P39" s="35"/>
      <c r="Q39" s="35"/>
      <c r="R39" s="35"/>
    </row>
    <row r="40" spans="1:18" x14ac:dyDescent="0.2">
      <c r="B40" s="26">
        <f t="shared" si="9"/>
        <v>36</v>
      </c>
      <c r="C40" s="47">
        <f>IF($E$9="H",+(VLOOKUP(B40,'CSO2001'!_xlnm.Print_Area,11)-VLOOKUP(B40+$E$8,'CSO2001'!_xlnm.Print_Area,11))/(VLOOKUP(B40,'CSO2001'!_xlnm.Print_Area,9)-VLOOKUP(B40+$E$8,'CSO2001'!_xlnm.Print_Area,9))*$E$7,+(VLOOKUP(B40-3,'CSO2001'!_xlnm.Print_Area,11)-VLOOKUP(B40-3+$E$8,'CSO2001'!_xlnm.Print_Area,11))/(VLOOKUP(B40-3,'CSO2001'!_xlnm.Print_Area,9)-VLOOKUP(B40-3+$E$8,'CSO2001'!_xlnm.Print_Area,9))*$E$7)*(1+$E$10)</f>
        <v>6.934724253468703</v>
      </c>
      <c r="D40" s="48">
        <f t="shared" si="10"/>
        <v>13.869448506937406</v>
      </c>
      <c r="E40" s="48">
        <f t="shared" si="11"/>
        <v>14.840309902423025</v>
      </c>
      <c r="F40" s="48">
        <f t="shared" si="12"/>
        <v>14.701615417353651</v>
      </c>
      <c r="G40" s="48">
        <f t="shared" si="13"/>
        <v>14.424226447214902</v>
      </c>
      <c r="H40" s="48">
        <f t="shared" si="14"/>
        <v>13.869448506937406</v>
      </c>
      <c r="I40" s="48">
        <f t="shared" si="15"/>
        <v>1.2366924918685853</v>
      </c>
      <c r="J40" s="48">
        <f t="shared" si="16"/>
        <v>3.6754038543384127</v>
      </c>
      <c r="K40" s="48">
        <f t="shared" si="17"/>
        <v>7.2121132236074512</v>
      </c>
      <c r="L40" s="48">
        <f t="shared" si="18"/>
        <v>13.869448506937406</v>
      </c>
      <c r="M40" s="35"/>
      <c r="N40" s="35"/>
      <c r="O40" s="35"/>
      <c r="P40" s="35"/>
      <c r="Q40" s="35"/>
      <c r="R40" s="35"/>
    </row>
    <row r="41" spans="1:18" x14ac:dyDescent="0.2">
      <c r="B41" s="26">
        <f t="shared" si="9"/>
        <v>37</v>
      </c>
      <c r="C41" s="47">
        <f>IF($E$9="H",+(VLOOKUP(B41,'CSO2001'!_xlnm.Print_Area,11)-VLOOKUP(B41+$E$8,'CSO2001'!_xlnm.Print_Area,11))/(VLOOKUP(B41,'CSO2001'!_xlnm.Print_Area,9)-VLOOKUP(B41+$E$8,'CSO2001'!_xlnm.Print_Area,9))*$E$7,+(VLOOKUP(B41-3,'CSO2001'!_xlnm.Print_Area,11)-VLOOKUP(B41-3+$E$8,'CSO2001'!_xlnm.Print_Area,11))/(VLOOKUP(B41-3,'CSO2001'!_xlnm.Print_Area,9)-VLOOKUP(B41-3+$E$8,'CSO2001'!_xlnm.Print_Area,9))*$E$7)*(1+$E$10)</f>
        <v>7.5747477137408961</v>
      </c>
      <c r="D41" s="48">
        <f t="shared" si="10"/>
        <v>15.149495427481792</v>
      </c>
      <c r="E41" s="48">
        <f t="shared" si="11"/>
        <v>16.209960107405518</v>
      </c>
      <c r="F41" s="48">
        <f t="shared" si="12"/>
        <v>16.058465153130701</v>
      </c>
      <c r="G41" s="48">
        <f t="shared" si="13"/>
        <v>15.755475244581064</v>
      </c>
      <c r="H41" s="48">
        <f t="shared" si="14"/>
        <v>15.149495427481792</v>
      </c>
      <c r="I41" s="48">
        <f t="shared" si="15"/>
        <v>1.3508300089504599</v>
      </c>
      <c r="J41" s="48">
        <f t="shared" si="16"/>
        <v>4.0146162882826752</v>
      </c>
      <c r="K41" s="48">
        <f t="shared" si="17"/>
        <v>7.8777376222905318</v>
      </c>
      <c r="L41" s="48">
        <f t="shared" si="18"/>
        <v>15.149495427481792</v>
      </c>
      <c r="M41" s="35"/>
      <c r="N41" s="35"/>
      <c r="O41" s="35"/>
      <c r="P41" s="35"/>
      <c r="Q41" s="35"/>
      <c r="R41" s="35"/>
    </row>
    <row r="42" spans="1:18" x14ac:dyDescent="0.2">
      <c r="B42" s="26">
        <f t="shared" si="9"/>
        <v>38</v>
      </c>
      <c r="C42" s="47">
        <f>IF($E$9="H",+(VLOOKUP(B42,'CSO2001'!_xlnm.Print_Area,11)-VLOOKUP(B42+$E$8,'CSO2001'!_xlnm.Print_Area,11))/(VLOOKUP(B42,'CSO2001'!_xlnm.Print_Area,9)-VLOOKUP(B42+$E$8,'CSO2001'!_xlnm.Print_Area,9))*$E$7,+(VLOOKUP(B42-3,'CSO2001'!_xlnm.Print_Area,11)-VLOOKUP(B42-3+$E$8,'CSO2001'!_xlnm.Print_Area,11))/(VLOOKUP(B42-3,'CSO2001'!_xlnm.Print_Area,9)-VLOOKUP(B42-3+$E$8,'CSO2001'!_xlnm.Print_Area,9))*$E$7)*(1+$E$10)</f>
        <v>8.269424807098197</v>
      </c>
      <c r="D42" s="48">
        <f t="shared" si="10"/>
        <v>16.538849614196394</v>
      </c>
      <c r="E42" s="48">
        <f t="shared" si="11"/>
        <v>17.696569087190142</v>
      </c>
      <c r="F42" s="48">
        <f t="shared" si="12"/>
        <v>17.53118059104818</v>
      </c>
      <c r="G42" s="48">
        <f t="shared" si="13"/>
        <v>17.20040359876425</v>
      </c>
      <c r="H42" s="48">
        <f t="shared" si="14"/>
        <v>16.538849614196394</v>
      </c>
      <c r="I42" s="48">
        <f t="shared" si="15"/>
        <v>1.4747140905991785</v>
      </c>
      <c r="J42" s="48">
        <f t="shared" si="16"/>
        <v>4.382795147762045</v>
      </c>
      <c r="K42" s="48">
        <f t="shared" si="17"/>
        <v>8.6002017993821251</v>
      </c>
      <c r="L42" s="48">
        <f t="shared" si="18"/>
        <v>16.538849614196394</v>
      </c>
      <c r="M42" s="35"/>
      <c r="N42" s="35"/>
      <c r="O42" s="35"/>
      <c r="P42" s="35"/>
      <c r="Q42" s="35"/>
      <c r="R42" s="35"/>
    </row>
    <row r="43" spans="1:18" x14ac:dyDescent="0.2">
      <c r="B43" s="26">
        <f t="shared" si="9"/>
        <v>39</v>
      </c>
      <c r="C43" s="47">
        <f>IF($E$9="H",+(VLOOKUP(B43,'CSO2001'!_xlnm.Print_Area,11)-VLOOKUP(B43+$E$8,'CSO2001'!_xlnm.Print_Area,11))/(VLOOKUP(B43,'CSO2001'!_xlnm.Print_Area,9)-VLOOKUP(B43+$E$8,'CSO2001'!_xlnm.Print_Area,9))*$E$7,+(VLOOKUP(B43-3,'CSO2001'!_xlnm.Print_Area,11)-VLOOKUP(B43-3+$E$8,'CSO2001'!_xlnm.Print_Area,11))/(VLOOKUP(B43-3,'CSO2001'!_xlnm.Print_Area,9)-VLOOKUP(B43-3+$E$8,'CSO2001'!_xlnm.Print_Area,9))*$E$7)*(1+$E$10)</f>
        <v>9.0195521872025868</v>
      </c>
      <c r="D43" s="48">
        <f t="shared" si="10"/>
        <v>18.039104374405174</v>
      </c>
      <c r="E43" s="48">
        <f t="shared" si="11"/>
        <v>19.301841680613538</v>
      </c>
      <c r="F43" s="48">
        <f t="shared" si="12"/>
        <v>19.121450636869486</v>
      </c>
      <c r="G43" s="48">
        <f t="shared" si="13"/>
        <v>18.760668549381382</v>
      </c>
      <c r="H43" s="48">
        <f t="shared" si="14"/>
        <v>18.039104374405174</v>
      </c>
      <c r="I43" s="48">
        <f t="shared" si="15"/>
        <v>1.6084868067177949</v>
      </c>
      <c r="J43" s="48">
        <f t="shared" si="16"/>
        <v>4.7803626592173716</v>
      </c>
      <c r="K43" s="48">
        <f t="shared" si="17"/>
        <v>9.380334274690691</v>
      </c>
      <c r="L43" s="48">
        <f t="shared" si="18"/>
        <v>18.039104374405174</v>
      </c>
      <c r="M43" s="35"/>
      <c r="N43" s="35"/>
      <c r="O43" s="35"/>
      <c r="P43" s="35"/>
      <c r="Q43" s="35"/>
      <c r="R43" s="35"/>
    </row>
    <row r="44" spans="1:18" x14ac:dyDescent="0.2">
      <c r="B44" s="77">
        <f t="shared" si="9"/>
        <v>40</v>
      </c>
      <c r="C44" s="78">
        <f>IF($E$9="H",+(VLOOKUP(B44,'CSO2001'!_xlnm.Print_Area,11)-VLOOKUP(B44+$E$8,'CSO2001'!_xlnm.Print_Area,11))/(VLOOKUP(B44,'CSO2001'!_xlnm.Print_Area,9)-VLOOKUP(B44+$E$8,'CSO2001'!_xlnm.Print_Area,9))*$E$7,+(VLOOKUP(B44-3,'CSO2001'!_xlnm.Print_Area,11)-VLOOKUP(B44-3+$E$8,'CSO2001'!_xlnm.Print_Area,11))/(VLOOKUP(B44-3,'CSO2001'!_xlnm.Print_Area,9)-VLOOKUP(B44-3+$E$8,'CSO2001'!_xlnm.Print_Area,9))*$E$7)*(1+$E$10)</f>
        <v>9.8263921724043399</v>
      </c>
      <c r="D44" s="48">
        <f t="shared" si="10"/>
        <v>19.65278434480868</v>
      </c>
      <c r="E44" s="48">
        <f>+$D44*(1+$E$12)</f>
        <v>21.028479248945288</v>
      </c>
      <c r="F44" s="48">
        <f>+$D44*(1+$F$12)</f>
        <v>20.8319514054972</v>
      </c>
      <c r="G44" s="48">
        <f>+$D44*(1+$G$12)</f>
        <v>20.438895718601028</v>
      </c>
      <c r="H44" s="48">
        <f>+$D44*(1+$H$12)</f>
        <v>19.65278434480868</v>
      </c>
      <c r="I44" s="48">
        <f>+E44/12</f>
        <v>1.7523732707454407</v>
      </c>
      <c r="J44" s="48">
        <f>+F44/4</f>
        <v>5.2079878513743001</v>
      </c>
      <c r="K44" s="48">
        <f>+G44/2</f>
        <v>10.219447859300514</v>
      </c>
      <c r="L44" s="48">
        <f>+H44</f>
        <v>19.65278434480868</v>
      </c>
      <c r="M44" s="35"/>
      <c r="N44" s="35"/>
      <c r="O44" s="35"/>
      <c r="P44" s="35"/>
      <c r="Q44" s="35"/>
      <c r="R44" s="35"/>
    </row>
    <row r="45" spans="1:18" x14ac:dyDescent="0.2">
      <c r="B45" s="26">
        <f t="shared" si="9"/>
        <v>41</v>
      </c>
      <c r="C45" s="47">
        <f>IF($E$9="H",+(VLOOKUP(B45,'CSO2001'!_xlnm.Print_Area,11)-VLOOKUP(B45+$E$8,'CSO2001'!_xlnm.Print_Area,11))/(VLOOKUP(B45,'CSO2001'!_xlnm.Print_Area,9)-VLOOKUP(B45+$E$8,'CSO2001'!_xlnm.Print_Area,9))*$E$7,+(VLOOKUP(B45-3,'CSO2001'!_xlnm.Print_Area,11)-VLOOKUP(B45-3+$E$8,'CSO2001'!_xlnm.Print_Area,11))/(VLOOKUP(B45-3,'CSO2001'!_xlnm.Print_Area,9)-VLOOKUP(B45-3+$E$8,'CSO2001'!_xlnm.Print_Area,9))*$E$7)*(1+$E$10)</f>
        <v>10.697901045276129</v>
      </c>
      <c r="D45" s="48">
        <f t="shared" si="10"/>
        <v>21.395802090552259</v>
      </c>
      <c r="E45" s="48">
        <f t="shared" si="11"/>
        <v>22.89350823689092</v>
      </c>
      <c r="F45" s="48">
        <f t="shared" si="12"/>
        <v>22.679550215985394</v>
      </c>
      <c r="G45" s="48">
        <f t="shared" si="13"/>
        <v>22.251634174174349</v>
      </c>
      <c r="H45" s="48">
        <f t="shared" si="14"/>
        <v>21.395802090552259</v>
      </c>
      <c r="I45" s="48">
        <f t="shared" si="15"/>
        <v>1.9077923530742433</v>
      </c>
      <c r="J45" s="48">
        <f t="shared" si="16"/>
        <v>5.6698875539963485</v>
      </c>
      <c r="K45" s="48">
        <f t="shared" si="17"/>
        <v>11.125817087087174</v>
      </c>
      <c r="L45" s="48">
        <f t="shared" si="18"/>
        <v>21.395802090552259</v>
      </c>
      <c r="M45" s="35"/>
      <c r="N45" s="35"/>
      <c r="O45" s="35"/>
      <c r="P45" s="35"/>
      <c r="Q45" s="35"/>
      <c r="R45" s="35"/>
    </row>
    <row r="46" spans="1:18" x14ac:dyDescent="0.2">
      <c r="B46" s="26">
        <f t="shared" si="9"/>
        <v>42</v>
      </c>
      <c r="C46" s="47">
        <f>IF($E$9="H",+(VLOOKUP(B46,'CSO2001'!_xlnm.Print_Area,11)-VLOOKUP(B46+$E$8,'CSO2001'!_xlnm.Print_Area,11))/(VLOOKUP(B46,'CSO2001'!_xlnm.Print_Area,9)-VLOOKUP(B46+$E$8,'CSO2001'!_xlnm.Print_Area,9))*$E$7,+(VLOOKUP(B46-3,'CSO2001'!_xlnm.Print_Area,11)-VLOOKUP(B46-3+$E$8,'CSO2001'!_xlnm.Print_Area,11))/(VLOOKUP(B46-3,'CSO2001'!_xlnm.Print_Area,9)-VLOOKUP(B46-3+$E$8,'CSO2001'!_xlnm.Print_Area,9))*$E$7)*(1+$E$10)</f>
        <v>11.637724424887427</v>
      </c>
      <c r="D46" s="48">
        <f t="shared" si="10"/>
        <v>23.275448849774854</v>
      </c>
      <c r="E46" s="48">
        <f t="shared" si="11"/>
        <v>24.904730269259094</v>
      </c>
      <c r="F46" s="48">
        <f t="shared" si="12"/>
        <v>24.671975780761347</v>
      </c>
      <c r="G46" s="48">
        <f t="shared" si="13"/>
        <v>24.206466803765849</v>
      </c>
      <c r="H46" s="48">
        <f t="shared" si="14"/>
        <v>23.275448849774854</v>
      </c>
      <c r="I46" s="48">
        <f t="shared" si="15"/>
        <v>2.0753941891049243</v>
      </c>
      <c r="J46" s="48">
        <f t="shared" si="16"/>
        <v>6.1679939451903367</v>
      </c>
      <c r="K46" s="48">
        <f t="shared" si="17"/>
        <v>12.103233401882925</v>
      </c>
      <c r="L46" s="48">
        <f t="shared" si="18"/>
        <v>23.275448849774854</v>
      </c>
      <c r="M46" s="35"/>
      <c r="N46" s="35"/>
      <c r="O46" s="35"/>
      <c r="P46" s="35"/>
      <c r="Q46" s="35"/>
      <c r="R46" s="35"/>
    </row>
    <row r="47" spans="1:18" x14ac:dyDescent="0.2">
      <c r="B47" s="26">
        <f t="shared" si="9"/>
        <v>43</v>
      </c>
      <c r="C47" s="47">
        <f>IF($E$9="H",+(VLOOKUP(B47,'CSO2001'!_xlnm.Print_Area,11)-VLOOKUP(B47+$E$8,'CSO2001'!_xlnm.Print_Area,11))/(VLOOKUP(B47,'CSO2001'!_xlnm.Print_Area,9)-VLOOKUP(B47+$E$8,'CSO2001'!_xlnm.Print_Area,9))*$E$7,+(VLOOKUP(B47-3,'CSO2001'!_xlnm.Print_Area,11)-VLOOKUP(B47-3+$E$8,'CSO2001'!_xlnm.Print_Area,11))/(VLOOKUP(B47-3,'CSO2001'!_xlnm.Print_Area,9)-VLOOKUP(B47-3+$E$8,'CSO2001'!_xlnm.Print_Area,9))*$E$7)*(1+$E$10)</f>
        <v>12.661147796865457</v>
      </c>
      <c r="D47" s="48">
        <f t="shared" si="10"/>
        <v>25.322295593730914</v>
      </c>
      <c r="E47" s="48">
        <f t="shared" si="11"/>
        <v>27.094856285292078</v>
      </c>
      <c r="F47" s="48">
        <f t="shared" si="12"/>
        <v>26.841633329354771</v>
      </c>
      <c r="G47" s="48">
        <f t="shared" si="13"/>
        <v>26.335187417480149</v>
      </c>
      <c r="H47" s="48">
        <f t="shared" si="14"/>
        <v>25.322295593730914</v>
      </c>
      <c r="I47" s="48">
        <f t="shared" si="15"/>
        <v>2.2579046904410065</v>
      </c>
      <c r="J47" s="48">
        <f t="shared" si="16"/>
        <v>6.7104083323386927</v>
      </c>
      <c r="K47" s="48">
        <f t="shared" si="17"/>
        <v>13.167593708740075</v>
      </c>
      <c r="L47" s="48">
        <f t="shared" si="18"/>
        <v>25.322295593730914</v>
      </c>
      <c r="M47" s="35"/>
      <c r="N47" s="35"/>
      <c r="O47" s="35"/>
      <c r="P47" s="35"/>
      <c r="Q47" s="35"/>
      <c r="R47" s="35"/>
    </row>
    <row r="48" spans="1:18" x14ac:dyDescent="0.2">
      <c r="B48" s="26">
        <f t="shared" si="9"/>
        <v>44</v>
      </c>
      <c r="C48" s="47">
        <f>IF($E$9="H",+(VLOOKUP(B48,'CSO2001'!_xlnm.Print_Area,11)-VLOOKUP(B48+$E$8,'CSO2001'!_xlnm.Print_Area,11))/(VLOOKUP(B48,'CSO2001'!_xlnm.Print_Area,9)-VLOOKUP(B48+$E$8,'CSO2001'!_xlnm.Print_Area,9))*$E$7,+(VLOOKUP(B48-3,'CSO2001'!_xlnm.Print_Area,11)-VLOOKUP(B48-3+$E$8,'CSO2001'!_xlnm.Print_Area,11))/(VLOOKUP(B48-3,'CSO2001'!_xlnm.Print_Area,9)-VLOOKUP(B48-3+$E$8,'CSO2001'!_xlnm.Print_Area,9))*$E$7)*(1+$E$10)</f>
        <v>13.768281721758628</v>
      </c>
      <c r="D48" s="48">
        <f t="shared" si="10"/>
        <v>27.536563443517256</v>
      </c>
      <c r="E48" s="48">
        <f t="shared" si="11"/>
        <v>29.464122884563466</v>
      </c>
      <c r="F48" s="48">
        <f t="shared" si="12"/>
        <v>29.188757250128294</v>
      </c>
      <c r="G48" s="48">
        <f t="shared" si="13"/>
        <v>28.638025981257947</v>
      </c>
      <c r="H48" s="48">
        <f t="shared" si="14"/>
        <v>27.536563443517256</v>
      </c>
      <c r="I48" s="48">
        <f t="shared" si="15"/>
        <v>2.455343573713622</v>
      </c>
      <c r="J48" s="48">
        <f t="shared" si="16"/>
        <v>7.2971893125320735</v>
      </c>
      <c r="K48" s="48">
        <f t="shared" si="17"/>
        <v>14.319012990628973</v>
      </c>
      <c r="L48" s="48">
        <f t="shared" si="18"/>
        <v>27.536563443517256</v>
      </c>
      <c r="M48" s="35"/>
      <c r="N48" s="35"/>
      <c r="O48" s="35"/>
      <c r="P48" s="35"/>
      <c r="Q48" s="35"/>
      <c r="R48" s="35"/>
    </row>
    <row r="49" spans="2:18" x14ac:dyDescent="0.2">
      <c r="B49" s="26">
        <f t="shared" si="9"/>
        <v>45</v>
      </c>
      <c r="C49" s="47">
        <f>IF($E$9="H",+(VLOOKUP(B49,'CSO2001'!_xlnm.Print_Area,11)-VLOOKUP(B49+$E$8,'CSO2001'!_xlnm.Print_Area,11))/(VLOOKUP(B49,'CSO2001'!_xlnm.Print_Area,9)-VLOOKUP(B49+$E$8,'CSO2001'!_xlnm.Print_Area,9))*$E$7,+(VLOOKUP(B49-3,'CSO2001'!_xlnm.Print_Area,11)-VLOOKUP(B49-3+$E$8,'CSO2001'!_xlnm.Print_Area,11))/(VLOOKUP(B49-3,'CSO2001'!_xlnm.Print_Area,9)-VLOOKUP(B49-3+$E$8,'CSO2001'!_xlnm.Print_Area,9))*$E$7)*(1+$E$10)</f>
        <v>14.956865472310618</v>
      </c>
      <c r="D49" s="48">
        <f t="shared" si="10"/>
        <v>29.913730944621236</v>
      </c>
      <c r="E49" s="48">
        <f>+$D49*(1+$E$12)</f>
        <v>32.007692110744721</v>
      </c>
      <c r="F49" s="48">
        <f>+$D49*(1+$F$12)</f>
        <v>31.708554801298511</v>
      </c>
      <c r="G49" s="48">
        <f>+$D49*(1+$G$12)</f>
        <v>31.110280182406086</v>
      </c>
      <c r="H49" s="48">
        <f>+$D49*(1+$H$12)</f>
        <v>29.913730944621236</v>
      </c>
      <c r="I49" s="48">
        <f>+E49/12</f>
        <v>2.6673076758953935</v>
      </c>
      <c r="J49" s="48">
        <f>+F49/4</f>
        <v>7.9271387003246279</v>
      </c>
      <c r="K49" s="48">
        <f>+G49/2</f>
        <v>15.555140091203043</v>
      </c>
      <c r="L49" s="48">
        <f>+H49</f>
        <v>29.913730944621236</v>
      </c>
      <c r="M49" s="35"/>
      <c r="N49" s="35"/>
      <c r="O49" s="35"/>
      <c r="P49" s="35"/>
      <c r="Q49" s="35"/>
      <c r="R49" s="35"/>
    </row>
    <row r="50" spans="2:18" x14ac:dyDescent="0.2">
      <c r="B50" s="26">
        <f t="shared" si="9"/>
        <v>46</v>
      </c>
      <c r="C50" s="47">
        <f>IF($E$9="H",+(VLOOKUP(B50,'CSO2001'!_xlnm.Print_Area,11)-VLOOKUP(B50+$E$8,'CSO2001'!_xlnm.Print_Area,11))/(VLOOKUP(B50,'CSO2001'!_xlnm.Print_Area,9)-VLOOKUP(B50+$E$8,'CSO2001'!_xlnm.Print_Area,9))*$E$7,+(VLOOKUP(B50-3,'CSO2001'!_xlnm.Print_Area,11)-VLOOKUP(B50-3+$E$8,'CSO2001'!_xlnm.Print_Area,11))/(VLOOKUP(B50-3,'CSO2001'!_xlnm.Print_Area,9)-VLOOKUP(B50-3+$E$8,'CSO2001'!_xlnm.Print_Area,9))*$E$7)*(1+$E$10)</f>
        <v>16.230982470862131</v>
      </c>
      <c r="D50" s="48">
        <f t="shared" si="10"/>
        <v>32.461964941724261</v>
      </c>
      <c r="E50" s="48">
        <f t="shared" si="11"/>
        <v>34.73430248764496</v>
      </c>
      <c r="F50" s="48">
        <f t="shared" si="12"/>
        <v>34.409682838227717</v>
      </c>
      <c r="G50" s="48">
        <f t="shared" si="13"/>
        <v>33.760443539393236</v>
      </c>
      <c r="H50" s="48">
        <f t="shared" si="14"/>
        <v>32.461964941724261</v>
      </c>
      <c r="I50" s="48">
        <f t="shared" si="15"/>
        <v>2.8945252073037468</v>
      </c>
      <c r="J50" s="48">
        <f t="shared" si="16"/>
        <v>8.6024207095569292</v>
      </c>
      <c r="K50" s="48">
        <f t="shared" si="17"/>
        <v>16.880221769696618</v>
      </c>
      <c r="L50" s="48">
        <f t="shared" si="18"/>
        <v>32.461964941724261</v>
      </c>
      <c r="M50" s="35"/>
      <c r="N50" s="35"/>
      <c r="O50" s="35"/>
      <c r="P50" s="35"/>
      <c r="Q50" s="35"/>
      <c r="R50" s="35"/>
    </row>
    <row r="51" spans="2:18" x14ac:dyDescent="0.2">
      <c r="B51" s="26">
        <f t="shared" si="9"/>
        <v>47</v>
      </c>
      <c r="C51" s="47">
        <f>IF($E$9="H",+(VLOOKUP(B51,'CSO2001'!_xlnm.Print_Area,11)-VLOOKUP(B51+$E$8,'CSO2001'!_xlnm.Print_Area,11))/(VLOOKUP(B51,'CSO2001'!_xlnm.Print_Area,9)-VLOOKUP(B51+$E$8,'CSO2001'!_xlnm.Print_Area,9))*$E$7,+(VLOOKUP(B51-3,'CSO2001'!_xlnm.Print_Area,11)-VLOOKUP(B51-3+$E$8,'CSO2001'!_xlnm.Print_Area,11))/(VLOOKUP(B51-3,'CSO2001'!_xlnm.Print_Area,9)-VLOOKUP(B51-3+$E$8,'CSO2001'!_xlnm.Print_Area,9))*$E$7)*(1+$E$10)</f>
        <v>17.596029651790616</v>
      </c>
      <c r="D51" s="48">
        <f t="shared" si="10"/>
        <v>35.192059303581232</v>
      </c>
      <c r="E51" s="48">
        <f t="shared" si="11"/>
        <v>37.655503454831923</v>
      </c>
      <c r="F51" s="48">
        <f t="shared" si="12"/>
        <v>37.303582861796109</v>
      </c>
      <c r="G51" s="48">
        <f t="shared" si="13"/>
        <v>36.599741675724481</v>
      </c>
      <c r="H51" s="48">
        <f t="shared" si="14"/>
        <v>35.192059303581232</v>
      </c>
      <c r="I51" s="48">
        <f t="shared" si="15"/>
        <v>3.1379586212359936</v>
      </c>
      <c r="J51" s="48">
        <f t="shared" si="16"/>
        <v>9.3258957154490272</v>
      </c>
      <c r="K51" s="48">
        <f t="shared" si="17"/>
        <v>18.29987083786224</v>
      </c>
      <c r="L51" s="48">
        <f t="shared" si="18"/>
        <v>35.192059303581232</v>
      </c>
      <c r="M51" s="35"/>
      <c r="N51" s="35"/>
      <c r="O51" s="35"/>
      <c r="P51" s="35"/>
      <c r="Q51" s="35"/>
      <c r="R51" s="35"/>
    </row>
    <row r="52" spans="2:18" x14ac:dyDescent="0.2">
      <c r="B52" s="26">
        <f t="shared" si="9"/>
        <v>48</v>
      </c>
      <c r="C52" s="47">
        <f>IF($E$9="H",+(VLOOKUP(B52,'CSO2001'!_xlnm.Print_Area,11)-VLOOKUP(B52+$E$8,'CSO2001'!_xlnm.Print_Area,11))/(VLOOKUP(B52,'CSO2001'!_xlnm.Print_Area,9)-VLOOKUP(B52+$E$8,'CSO2001'!_xlnm.Print_Area,9))*$E$7,+(VLOOKUP(B52-3,'CSO2001'!_xlnm.Print_Area,11)-VLOOKUP(B52-3+$E$8,'CSO2001'!_xlnm.Print_Area,11))/(VLOOKUP(B52-3,'CSO2001'!_xlnm.Print_Area,9)-VLOOKUP(B52-3+$E$8,'CSO2001'!_xlnm.Print_Area,9))*$E$7)*(1+$E$10)</f>
        <v>19.05992481986549</v>
      </c>
      <c r="D52" s="48">
        <f t="shared" si="10"/>
        <v>38.11984963973098</v>
      </c>
      <c r="E52" s="48">
        <f t="shared" si="11"/>
        <v>40.788239114512152</v>
      </c>
      <c r="F52" s="48">
        <f t="shared" si="12"/>
        <v>40.407040618114841</v>
      </c>
      <c r="G52" s="48">
        <f t="shared" si="13"/>
        <v>39.644643625320221</v>
      </c>
      <c r="H52" s="48">
        <f t="shared" si="14"/>
        <v>38.11984963973098</v>
      </c>
      <c r="I52" s="48">
        <f t="shared" si="15"/>
        <v>3.3990199262093461</v>
      </c>
      <c r="J52" s="48">
        <f t="shared" si="16"/>
        <v>10.10176015452871</v>
      </c>
      <c r="K52" s="48">
        <f t="shared" si="17"/>
        <v>19.82232181266011</v>
      </c>
      <c r="L52" s="48">
        <f t="shared" si="18"/>
        <v>38.11984963973098</v>
      </c>
      <c r="M52" s="35"/>
      <c r="N52" s="35"/>
      <c r="O52" s="35"/>
      <c r="P52" s="35"/>
      <c r="Q52" s="35"/>
      <c r="R52" s="35"/>
    </row>
    <row r="53" spans="2:18" x14ac:dyDescent="0.2">
      <c r="B53" s="26">
        <f t="shared" si="9"/>
        <v>49</v>
      </c>
      <c r="C53" s="47">
        <f>IF($E$9="H",+(VLOOKUP(B53,'CSO2001'!_xlnm.Print_Area,11)-VLOOKUP(B53+$E$8,'CSO2001'!_xlnm.Print_Area,11))/(VLOOKUP(B53,'CSO2001'!_xlnm.Print_Area,9)-VLOOKUP(B53+$E$8,'CSO2001'!_xlnm.Print_Area,9))*$E$7,+(VLOOKUP(B53-3,'CSO2001'!_xlnm.Print_Area,11)-VLOOKUP(B53-3+$E$8,'CSO2001'!_xlnm.Print_Area,11))/(VLOOKUP(B53-3,'CSO2001'!_xlnm.Print_Area,9)-VLOOKUP(B53-3+$E$8,'CSO2001'!_xlnm.Print_Area,9))*$E$7)*(1+$E$10)</f>
        <v>20.643252998007522</v>
      </c>
      <c r="D53" s="48">
        <f t="shared" si="10"/>
        <v>41.286505996015045</v>
      </c>
      <c r="E53" s="48">
        <f t="shared" si="11"/>
        <v>44.176561415736103</v>
      </c>
      <c r="F53" s="48">
        <f t="shared" si="12"/>
        <v>43.763696355775949</v>
      </c>
      <c r="G53" s="48">
        <f t="shared" si="13"/>
        <v>42.937966235855647</v>
      </c>
      <c r="H53" s="48">
        <f t="shared" si="14"/>
        <v>41.286505996015045</v>
      </c>
      <c r="I53" s="48">
        <f t="shared" si="15"/>
        <v>3.6813801179780086</v>
      </c>
      <c r="J53" s="48">
        <f t="shared" si="16"/>
        <v>10.940924088943987</v>
      </c>
      <c r="K53" s="48">
        <f t="shared" si="17"/>
        <v>21.468983117927824</v>
      </c>
      <c r="L53" s="48">
        <f t="shared" si="18"/>
        <v>41.286505996015045</v>
      </c>
      <c r="M53" s="35"/>
      <c r="N53" s="35"/>
      <c r="O53" s="35"/>
      <c r="P53" s="35"/>
      <c r="Q53" s="35"/>
      <c r="R53" s="35"/>
    </row>
    <row r="54" spans="2:18" x14ac:dyDescent="0.2">
      <c r="B54" s="26">
        <f t="shared" si="9"/>
        <v>50</v>
      </c>
      <c r="C54" s="47">
        <f>IF($E$9="H",+(VLOOKUP(B54,'CSO2001'!_xlnm.Print_Area,11)-VLOOKUP(B54+$E$8,'CSO2001'!_xlnm.Print_Area,11))/(VLOOKUP(B54,'CSO2001'!_xlnm.Print_Area,9)-VLOOKUP(B54+$E$8,'CSO2001'!_xlnm.Print_Area,9))*$E$7,+(VLOOKUP(B54-3,'CSO2001'!_xlnm.Print_Area,11)-VLOOKUP(B54-3+$E$8,'CSO2001'!_xlnm.Print_Area,11))/(VLOOKUP(B54-3,'CSO2001'!_xlnm.Print_Area,9)-VLOOKUP(B54-3+$E$8,'CSO2001'!_xlnm.Print_Area,9))*$E$7)*(1+$E$10)</f>
        <v>22.353062438644258</v>
      </c>
      <c r="D54" s="48">
        <f t="shared" si="10"/>
        <v>44.706124877288516</v>
      </c>
      <c r="E54" s="48">
        <f>+$D54*(1+$E$12)</f>
        <v>47.835553618698718</v>
      </c>
      <c r="F54" s="48">
        <f>+$D54*(1+$F$12)</f>
        <v>47.388492369925828</v>
      </c>
      <c r="G54" s="48">
        <f>+$D54*(1+$G$12)</f>
        <v>46.494369872380062</v>
      </c>
      <c r="H54" s="48">
        <f>+$D54*(1+$H$12)</f>
        <v>44.706124877288516</v>
      </c>
      <c r="I54" s="48">
        <f>+E54/12</f>
        <v>3.98629613489156</v>
      </c>
      <c r="J54" s="48">
        <f>+F54/4</f>
        <v>11.847123092481457</v>
      </c>
      <c r="K54" s="48">
        <f>+G54/2</f>
        <v>23.247184936190031</v>
      </c>
      <c r="L54" s="48">
        <f>+H54</f>
        <v>44.706124877288516</v>
      </c>
      <c r="M54" s="35"/>
      <c r="N54" s="35"/>
      <c r="O54" s="35"/>
      <c r="P54" s="35"/>
      <c r="Q54" s="35"/>
      <c r="R54" s="35"/>
    </row>
    <row r="55" spans="2:18" x14ac:dyDescent="0.2">
      <c r="B55" s="26">
        <f t="shared" si="9"/>
        <v>51</v>
      </c>
      <c r="C55" s="47">
        <f>IF($E$9="H",+(VLOOKUP(B55,'CSO2001'!_xlnm.Print_Area,11)-VLOOKUP(B55+$E$8,'CSO2001'!_xlnm.Print_Area,11))/(VLOOKUP(B55,'CSO2001'!_xlnm.Print_Area,9)-VLOOKUP(B55+$E$8,'CSO2001'!_xlnm.Print_Area,9))*$E$7,+(VLOOKUP(B55-3,'CSO2001'!_xlnm.Print_Area,11)-VLOOKUP(B55-3+$E$8,'CSO2001'!_xlnm.Print_Area,11))/(VLOOKUP(B55-3,'CSO2001'!_xlnm.Print_Area,9)-VLOOKUP(B55-3+$E$8,'CSO2001'!_xlnm.Print_Area,9))*$E$7)*(1+$E$10)</f>
        <v>24.18802729323869</v>
      </c>
      <c r="D55" s="48">
        <f t="shared" si="10"/>
        <v>48.37605458647738</v>
      </c>
      <c r="E55" s="48">
        <f t="shared" si="11"/>
        <v>51.762378407530797</v>
      </c>
      <c r="F55" s="48">
        <f t="shared" si="12"/>
        <v>51.278617861666028</v>
      </c>
      <c r="G55" s="48">
        <f t="shared" si="13"/>
        <v>50.311096769936476</v>
      </c>
      <c r="H55" s="48">
        <f t="shared" si="14"/>
        <v>48.37605458647738</v>
      </c>
      <c r="I55" s="48">
        <f t="shared" si="15"/>
        <v>4.3135315339608997</v>
      </c>
      <c r="J55" s="48">
        <f t="shared" si="16"/>
        <v>12.819654465416507</v>
      </c>
      <c r="K55" s="48">
        <f t="shared" si="17"/>
        <v>25.155548384968238</v>
      </c>
      <c r="L55" s="48">
        <f t="shared" si="18"/>
        <v>48.37605458647738</v>
      </c>
      <c r="M55" s="35"/>
      <c r="N55" s="35"/>
      <c r="O55" s="35"/>
      <c r="P55" s="35"/>
      <c r="Q55" s="35"/>
      <c r="R55" s="35"/>
    </row>
    <row r="56" spans="2:18" x14ac:dyDescent="0.2">
      <c r="B56" s="26">
        <f t="shared" si="9"/>
        <v>52</v>
      </c>
      <c r="C56" s="47">
        <f>IF($E$9="H",+(VLOOKUP(B56,'CSO2001'!_xlnm.Print_Area,11)-VLOOKUP(B56+$E$8,'CSO2001'!_xlnm.Print_Area,11))/(VLOOKUP(B56,'CSO2001'!_xlnm.Print_Area,9)-VLOOKUP(B56+$E$8,'CSO2001'!_xlnm.Print_Area,9))*$E$7,+(VLOOKUP(B56-3,'CSO2001'!_xlnm.Print_Area,11)-VLOOKUP(B56-3+$E$8,'CSO2001'!_xlnm.Print_Area,11))/(VLOOKUP(B56-3,'CSO2001'!_xlnm.Print_Area,9)-VLOOKUP(B56-3+$E$8,'CSO2001'!_xlnm.Print_Area,9))*$E$7)*(1+$E$10)</f>
        <v>26.149560670480778</v>
      </c>
      <c r="D56" s="48">
        <f t="shared" si="10"/>
        <v>52.299121340961555</v>
      </c>
      <c r="E56" s="48">
        <f t="shared" si="11"/>
        <v>55.960059834828868</v>
      </c>
      <c r="F56" s="48">
        <f t="shared" si="12"/>
        <v>55.43706862141925</v>
      </c>
      <c r="G56" s="48">
        <f t="shared" si="13"/>
        <v>54.391086194600021</v>
      </c>
      <c r="H56" s="48">
        <f t="shared" si="14"/>
        <v>52.299121340961555</v>
      </c>
      <c r="I56" s="48">
        <f t="shared" si="15"/>
        <v>4.6633383195690721</v>
      </c>
      <c r="J56" s="48">
        <f t="shared" si="16"/>
        <v>13.859267155354813</v>
      </c>
      <c r="K56" s="48">
        <f t="shared" si="17"/>
        <v>27.195543097300011</v>
      </c>
      <c r="L56" s="48">
        <f t="shared" si="18"/>
        <v>52.299121340961555</v>
      </c>
      <c r="M56" s="35"/>
      <c r="N56" s="35"/>
      <c r="O56" s="35"/>
      <c r="P56" s="35"/>
      <c r="Q56" s="35"/>
      <c r="R56" s="35"/>
    </row>
    <row r="57" spans="2:18" x14ac:dyDescent="0.2">
      <c r="B57" s="26">
        <f t="shared" si="9"/>
        <v>53</v>
      </c>
      <c r="C57" s="47">
        <f>IF($E$9="H",+(VLOOKUP(B57,'CSO2001'!_xlnm.Print_Area,11)-VLOOKUP(B57+$E$8,'CSO2001'!_xlnm.Print_Area,11))/(VLOOKUP(B57,'CSO2001'!_xlnm.Print_Area,9)-VLOOKUP(B57+$E$8,'CSO2001'!_xlnm.Print_Area,9))*$E$7,+(VLOOKUP(B57-3,'CSO2001'!_xlnm.Print_Area,11)-VLOOKUP(B57-3+$E$8,'CSO2001'!_xlnm.Print_Area,11))/(VLOOKUP(B57-3,'CSO2001'!_xlnm.Print_Area,9)-VLOOKUP(B57-3+$E$8,'CSO2001'!_xlnm.Print_Area,9))*$E$7)*(1+$E$10)</f>
        <v>28.223440807768249</v>
      </c>
      <c r="D57" s="48">
        <f t="shared" si="10"/>
        <v>56.446881615536498</v>
      </c>
      <c r="E57" s="48">
        <f t="shared" si="11"/>
        <v>60.398163328624058</v>
      </c>
      <c r="F57" s="48">
        <f t="shared" si="12"/>
        <v>59.833694512468689</v>
      </c>
      <c r="G57" s="48">
        <f t="shared" si="13"/>
        <v>58.704756880157959</v>
      </c>
      <c r="H57" s="48">
        <f t="shared" si="14"/>
        <v>56.446881615536498</v>
      </c>
      <c r="I57" s="48">
        <f t="shared" si="15"/>
        <v>5.0331802773853385</v>
      </c>
      <c r="J57" s="48">
        <f t="shared" si="16"/>
        <v>14.958423628117172</v>
      </c>
      <c r="K57" s="48">
        <f t="shared" si="17"/>
        <v>29.352378440078979</v>
      </c>
      <c r="L57" s="48">
        <f t="shared" si="18"/>
        <v>56.446881615536498</v>
      </c>
      <c r="M57" s="35"/>
      <c r="N57" s="35"/>
      <c r="O57" s="35"/>
      <c r="P57" s="35"/>
      <c r="Q57" s="35"/>
      <c r="R57" s="35"/>
    </row>
    <row r="58" spans="2:18" x14ac:dyDescent="0.2">
      <c r="B58" s="26">
        <f t="shared" si="9"/>
        <v>54</v>
      </c>
      <c r="C58" s="47">
        <f>IF($E$9="H",+(VLOOKUP(B58,'CSO2001'!_xlnm.Print_Area,11)-VLOOKUP(B58+$E$8,'CSO2001'!_xlnm.Print_Area,11))/(VLOOKUP(B58,'CSO2001'!_xlnm.Print_Area,9)-VLOOKUP(B58+$E$8,'CSO2001'!_xlnm.Print_Area,9))*$E$7,+(VLOOKUP(B58-3,'CSO2001'!_xlnm.Print_Area,11)-VLOOKUP(B58-3+$E$8,'CSO2001'!_xlnm.Print_Area,11))/(VLOOKUP(B58-3,'CSO2001'!_xlnm.Print_Area,9)-VLOOKUP(B58-3+$E$8,'CSO2001'!_xlnm.Print_Area,9))*$E$7)*(1+$E$10)</f>
        <v>30.405116189088737</v>
      </c>
      <c r="D58" s="48">
        <f t="shared" si="10"/>
        <v>60.810232378177474</v>
      </c>
      <c r="E58" s="48">
        <f t="shared" si="11"/>
        <v>65.066948644649898</v>
      </c>
      <c r="F58" s="48">
        <f t="shared" si="12"/>
        <v>64.458846320868119</v>
      </c>
      <c r="G58" s="48">
        <f t="shared" si="13"/>
        <v>63.242641673304576</v>
      </c>
      <c r="H58" s="48">
        <f t="shared" si="14"/>
        <v>60.810232378177474</v>
      </c>
      <c r="I58" s="48">
        <f t="shared" si="15"/>
        <v>5.4222457203874912</v>
      </c>
      <c r="J58" s="48">
        <f t="shared" si="16"/>
        <v>16.11471158021703</v>
      </c>
      <c r="K58" s="48">
        <f t="shared" si="17"/>
        <v>31.621320836652288</v>
      </c>
      <c r="L58" s="48">
        <f t="shared" si="18"/>
        <v>60.810232378177474</v>
      </c>
      <c r="M58" s="35"/>
      <c r="N58" s="35"/>
      <c r="O58" s="35"/>
      <c r="P58" s="35"/>
      <c r="Q58" s="35"/>
      <c r="R58" s="35"/>
    </row>
    <row r="59" spans="2:18" x14ac:dyDescent="0.2">
      <c r="B59" s="26">
        <f t="shared" si="9"/>
        <v>55</v>
      </c>
      <c r="C59" s="47">
        <f>IF($E$9="H",+(VLOOKUP(B59,'CSO2001'!_xlnm.Print_Area,11)-VLOOKUP(B59+$E$8,'CSO2001'!_xlnm.Print_Area,11))/(VLOOKUP(B59,'CSO2001'!_xlnm.Print_Area,9)-VLOOKUP(B59+$E$8,'CSO2001'!_xlnm.Print_Area,9))*$E$7,+(VLOOKUP(B59-3,'CSO2001'!_xlnm.Print_Area,11)-VLOOKUP(B59-3+$E$8,'CSO2001'!_xlnm.Print_Area,11))/(VLOOKUP(B59-3,'CSO2001'!_xlnm.Print_Area,9)-VLOOKUP(B59-3+$E$8,'CSO2001'!_xlnm.Print_Area,9))*$E$7)*(1+$E$10)</f>
        <v>32.686744312656543</v>
      </c>
      <c r="D59" s="48">
        <f t="shared" si="10"/>
        <v>65.373488625313087</v>
      </c>
      <c r="E59" s="48">
        <f>+$D59*(1+$E$12)</f>
        <v>69.949632829085004</v>
      </c>
      <c r="F59" s="48">
        <f>+$D59*(1+$F$12)</f>
        <v>69.295897942831871</v>
      </c>
      <c r="G59" s="48">
        <f>+$D59*(1+$G$12)</f>
        <v>67.988428170325619</v>
      </c>
      <c r="H59" s="48">
        <f>+$D59*(1+$H$12)</f>
        <v>65.373488625313087</v>
      </c>
      <c r="I59" s="48">
        <f>+E59/12</f>
        <v>5.829136069090417</v>
      </c>
      <c r="J59" s="48">
        <f>+F59/4</f>
        <v>17.323974485707968</v>
      </c>
      <c r="K59" s="48">
        <f>+G59/2</f>
        <v>33.99421408516281</v>
      </c>
      <c r="L59" s="48">
        <f>+H59</f>
        <v>65.373488625313087</v>
      </c>
      <c r="M59" s="35"/>
      <c r="N59" s="35"/>
      <c r="O59" s="35"/>
      <c r="P59" s="35"/>
      <c r="Q59" s="35"/>
      <c r="R59" s="35"/>
    </row>
    <row r="60" spans="2:18" x14ac:dyDescent="0.2">
      <c r="B60" s="26">
        <f t="shared" si="9"/>
        <v>56</v>
      </c>
      <c r="C60" s="47">
        <f>IF($E$9="H",+(VLOOKUP(B60,'CSO2001'!_xlnm.Print_Area,11)-VLOOKUP(B60+$E$8,'CSO2001'!_xlnm.Print_Area,11))/(VLOOKUP(B60,'CSO2001'!_xlnm.Print_Area,9)-VLOOKUP(B60+$E$8,'CSO2001'!_xlnm.Print_Area,9))*$E$7,+(VLOOKUP(B60-3,'CSO2001'!_xlnm.Print_Area,11)-VLOOKUP(B60-3+$E$8,'CSO2001'!_xlnm.Print_Area,11))/(VLOOKUP(B60-3,'CSO2001'!_xlnm.Print_Area,9)-VLOOKUP(B60-3+$E$8,'CSO2001'!_xlnm.Print_Area,9))*$E$7)*(1+$E$10)</f>
        <v>35.062134882408252</v>
      </c>
      <c r="D60" s="48">
        <f t="shared" si="10"/>
        <v>70.124269764816503</v>
      </c>
      <c r="E60" s="48">
        <f t="shared" si="11"/>
        <v>75.032968648353659</v>
      </c>
      <c r="F60" s="48">
        <f t="shared" si="12"/>
        <v>74.331725950705504</v>
      </c>
      <c r="G60" s="48">
        <f t="shared" si="13"/>
        <v>72.929240555409166</v>
      </c>
      <c r="H60" s="48">
        <f t="shared" si="14"/>
        <v>70.124269764816503</v>
      </c>
      <c r="I60" s="48">
        <f t="shared" si="15"/>
        <v>6.2527473873628052</v>
      </c>
      <c r="J60" s="48">
        <f t="shared" si="16"/>
        <v>18.582931487676376</v>
      </c>
      <c r="K60" s="48">
        <f t="shared" si="17"/>
        <v>36.464620277704583</v>
      </c>
      <c r="L60" s="48">
        <f t="shared" si="18"/>
        <v>70.124269764816503</v>
      </c>
      <c r="M60" s="35"/>
      <c r="N60" s="35"/>
      <c r="O60" s="35"/>
      <c r="P60" s="35"/>
      <c r="Q60" s="35"/>
      <c r="R60" s="35"/>
    </row>
    <row r="61" spans="2:18" x14ac:dyDescent="0.2">
      <c r="B61" s="26">
        <f t="shared" si="9"/>
        <v>57</v>
      </c>
      <c r="C61" s="47">
        <f>IF($E$9="H",+(VLOOKUP(B61,'CSO2001'!_xlnm.Print_Area,11)-VLOOKUP(B61+$E$8,'CSO2001'!_xlnm.Print_Area,11))/(VLOOKUP(B61,'CSO2001'!_xlnm.Print_Area,9)-VLOOKUP(B61+$E$8,'CSO2001'!_xlnm.Print_Area,9))*$E$7,+(VLOOKUP(B61-3,'CSO2001'!_xlnm.Print_Area,11)-VLOOKUP(B61-3+$E$8,'CSO2001'!_xlnm.Print_Area,11))/(VLOOKUP(B61-3,'CSO2001'!_xlnm.Print_Area,9)-VLOOKUP(B61-3+$E$8,'CSO2001'!_xlnm.Print_Area,9))*$E$7)*(1+$E$10)</f>
        <v>37.530033179979831</v>
      </c>
      <c r="D61" s="48">
        <f t="shared" si="10"/>
        <v>75.060066359959663</v>
      </c>
      <c r="E61" s="48">
        <f t="shared" si="11"/>
        <v>80.31427100515684</v>
      </c>
      <c r="F61" s="48">
        <f t="shared" si="12"/>
        <v>79.563670341557241</v>
      </c>
      <c r="G61" s="48">
        <f t="shared" si="13"/>
        <v>78.062469014358058</v>
      </c>
      <c r="H61" s="48">
        <f t="shared" si="14"/>
        <v>75.060066359959663</v>
      </c>
      <c r="I61" s="48">
        <f t="shared" si="15"/>
        <v>6.692855917096403</v>
      </c>
      <c r="J61" s="48">
        <f t="shared" si="16"/>
        <v>19.89091758538931</v>
      </c>
      <c r="K61" s="48">
        <f t="shared" si="17"/>
        <v>39.031234507179029</v>
      </c>
      <c r="L61" s="48">
        <f t="shared" si="18"/>
        <v>75.060066359959663</v>
      </c>
      <c r="M61" s="35"/>
      <c r="N61" s="35"/>
      <c r="O61" s="35"/>
      <c r="P61" s="35"/>
      <c r="Q61" s="35"/>
      <c r="R61" s="35"/>
    </row>
    <row r="62" spans="2:18" x14ac:dyDescent="0.2">
      <c r="B62" s="26">
        <f t="shared" si="9"/>
        <v>58</v>
      </c>
      <c r="C62" s="47">
        <f>IF($E$9="H",+(VLOOKUP(B62,'CSO2001'!_xlnm.Print_Area,11)-VLOOKUP(B62+$E$8,'CSO2001'!_xlnm.Print_Area,11))/(VLOOKUP(B62,'CSO2001'!_xlnm.Print_Area,9)-VLOOKUP(B62+$E$8,'CSO2001'!_xlnm.Print_Area,9))*$E$7,+(VLOOKUP(B62-3,'CSO2001'!_xlnm.Print_Area,11)-VLOOKUP(B62-3+$E$8,'CSO2001'!_xlnm.Print_Area,11))/(VLOOKUP(B62-3,'CSO2001'!_xlnm.Print_Area,9)-VLOOKUP(B62-3+$E$8,'CSO2001'!_xlnm.Print_Area,9))*$E$7)*(1+$E$10)</f>
        <v>40.088255265915187</v>
      </c>
      <c r="D62" s="48">
        <f t="shared" si="10"/>
        <v>80.176510531830374</v>
      </c>
      <c r="E62" s="48">
        <f t="shared" si="11"/>
        <v>85.788866269058502</v>
      </c>
      <c r="F62" s="48">
        <f t="shared" si="12"/>
        <v>84.987101163740206</v>
      </c>
      <c r="G62" s="48">
        <f t="shared" si="13"/>
        <v>83.383570953103586</v>
      </c>
      <c r="H62" s="48">
        <f t="shared" si="14"/>
        <v>80.176510531830374</v>
      </c>
      <c r="I62" s="48">
        <f t="shared" si="15"/>
        <v>7.1490721890882085</v>
      </c>
      <c r="J62" s="48">
        <f t="shared" si="16"/>
        <v>21.246775290935052</v>
      </c>
      <c r="K62" s="48">
        <f t="shared" si="17"/>
        <v>41.691785476551793</v>
      </c>
      <c r="L62" s="48">
        <f t="shared" si="18"/>
        <v>80.176510531830374</v>
      </c>
      <c r="M62" s="35"/>
      <c r="N62" s="35"/>
      <c r="O62" s="35"/>
      <c r="P62" s="35"/>
      <c r="Q62" s="35"/>
      <c r="R62" s="35"/>
    </row>
    <row r="63" spans="2:18" x14ac:dyDescent="0.2">
      <c r="B63" s="26">
        <f t="shared" si="9"/>
        <v>59</v>
      </c>
      <c r="C63" s="47">
        <f>IF($E$9="H",+(VLOOKUP(B63,'CSO2001'!_xlnm.Print_Area,11)-VLOOKUP(B63+$E$8,'CSO2001'!_xlnm.Print_Area,11))/(VLOOKUP(B63,'CSO2001'!_xlnm.Print_Area,9)-VLOOKUP(B63+$E$8,'CSO2001'!_xlnm.Print_Area,9))*$E$7,+(VLOOKUP(B63-3,'CSO2001'!_xlnm.Print_Area,11)-VLOOKUP(B63-3+$E$8,'CSO2001'!_xlnm.Print_Area,11))/(VLOOKUP(B63-3,'CSO2001'!_xlnm.Print_Area,9)-VLOOKUP(B63-3+$E$8,'CSO2001'!_xlnm.Print_Area,9))*$E$7)*(1+$E$10)</f>
        <v>42.758042070904786</v>
      </c>
      <c r="D63" s="48">
        <f t="shared" si="10"/>
        <v>85.516084141809571</v>
      </c>
      <c r="E63" s="48">
        <f t="shared" si="11"/>
        <v>91.50221003173624</v>
      </c>
      <c r="F63" s="48">
        <f t="shared" si="12"/>
        <v>90.647049190318157</v>
      </c>
      <c r="G63" s="48">
        <f t="shared" si="13"/>
        <v>88.936727507481962</v>
      </c>
      <c r="H63" s="48">
        <f t="shared" si="14"/>
        <v>85.516084141809571</v>
      </c>
      <c r="I63" s="48">
        <f t="shared" si="15"/>
        <v>7.6251841693113533</v>
      </c>
      <c r="J63" s="48">
        <f t="shared" si="16"/>
        <v>22.661762297579539</v>
      </c>
      <c r="K63" s="48">
        <f t="shared" si="17"/>
        <v>44.468363753740981</v>
      </c>
      <c r="L63" s="48">
        <f t="shared" si="18"/>
        <v>85.516084141809571</v>
      </c>
      <c r="M63" s="35"/>
      <c r="N63" s="35"/>
      <c r="O63" s="35"/>
      <c r="P63" s="35"/>
      <c r="Q63" s="35"/>
      <c r="R63" s="35"/>
    </row>
    <row r="64" spans="2:18" x14ac:dyDescent="0.2">
      <c r="B64" s="26">
        <f t="shared" si="9"/>
        <v>60</v>
      </c>
      <c r="C64" s="47">
        <f>IF($E$9="H",+(VLOOKUP(B64,'CSO2001'!_xlnm.Print_Area,11)-VLOOKUP(B64+$E$8,'CSO2001'!_xlnm.Print_Area,11))/(VLOOKUP(B64,'CSO2001'!_xlnm.Print_Area,9)-VLOOKUP(B64+$E$8,'CSO2001'!_xlnm.Print_Area,9))*$E$7,+(VLOOKUP(B64-3,'CSO2001'!_xlnm.Print_Area,11)-VLOOKUP(B64-3+$E$8,'CSO2001'!_xlnm.Print_Area,11))/(VLOOKUP(B64-3,'CSO2001'!_xlnm.Print_Area,9)-VLOOKUP(B64-3+$E$8,'CSO2001'!_xlnm.Print_Area,9))*$E$7)*(1+$E$10)</f>
        <v>45.541957485081873</v>
      </c>
      <c r="D64" s="48">
        <f t="shared" si="10"/>
        <v>91.083914970163747</v>
      </c>
      <c r="E64" s="48">
        <f>+$D64*(1+$E$12)</f>
        <v>97.459789018075213</v>
      </c>
      <c r="F64" s="48">
        <f>+$D64*(1+$F$12)</f>
        <v>96.548949868373583</v>
      </c>
      <c r="G64" s="48">
        <f>+$D64*(1+$G$12)</f>
        <v>94.727271568970295</v>
      </c>
      <c r="H64" s="48">
        <f>+$D64*(1+$H$12)</f>
        <v>91.083914970163747</v>
      </c>
      <c r="I64" s="48">
        <f>+E64/12</f>
        <v>8.1216490848396017</v>
      </c>
      <c r="J64" s="48">
        <f>+F64/4</f>
        <v>24.137237467093396</v>
      </c>
      <c r="K64" s="48">
        <f>+G64/2</f>
        <v>47.363635784485147</v>
      </c>
      <c r="L64" s="48">
        <f>+H64</f>
        <v>91.083914970163747</v>
      </c>
      <c r="M64" s="35"/>
      <c r="N64" s="35"/>
      <c r="O64" s="35"/>
      <c r="P64" s="35"/>
      <c r="Q64" s="35"/>
      <c r="R64" s="35"/>
    </row>
    <row r="65" spans="2:18" x14ac:dyDescent="0.2">
      <c r="B65" s="26">
        <f t="shared" si="9"/>
        <v>61</v>
      </c>
      <c r="C65" s="47">
        <f>IF($E$9="H",+(VLOOKUP(B65,'CSO2001'!_xlnm.Print_Area,11)-VLOOKUP(B65+$E$8,'CSO2001'!_xlnm.Print_Area,11))/(VLOOKUP(B65,'CSO2001'!_xlnm.Print_Area,9)-VLOOKUP(B65+$E$8,'CSO2001'!_xlnm.Print_Area,9))*$E$7,+(VLOOKUP(B65-3,'CSO2001'!_xlnm.Print_Area,11)-VLOOKUP(B65-3+$E$8,'CSO2001'!_xlnm.Print_Area,11))/(VLOOKUP(B65-3,'CSO2001'!_xlnm.Print_Area,9)-VLOOKUP(B65-3+$E$8,'CSO2001'!_xlnm.Print_Area,9))*$E$7)*(1+$E$10)</f>
        <v>48.440810843358648</v>
      </c>
      <c r="D65" s="48">
        <f t="shared" si="10"/>
        <v>96.881621686717295</v>
      </c>
      <c r="E65" s="48">
        <f t="shared" si="11"/>
        <v>103.66333520478751</v>
      </c>
      <c r="F65" s="48">
        <f t="shared" si="12"/>
        <v>102.69451898792033</v>
      </c>
      <c r="G65" s="48">
        <f t="shared" si="13"/>
        <v>100.756886554186</v>
      </c>
      <c r="H65" s="48">
        <f t="shared" si="14"/>
        <v>96.881621686717295</v>
      </c>
      <c r="I65" s="48">
        <f t="shared" si="15"/>
        <v>8.6386112670656257</v>
      </c>
      <c r="J65" s="48">
        <f t="shared" si="16"/>
        <v>25.673629746980083</v>
      </c>
      <c r="K65" s="48">
        <f t="shared" si="17"/>
        <v>50.378443277092998</v>
      </c>
      <c r="L65" s="48">
        <f t="shared" si="18"/>
        <v>96.881621686717295</v>
      </c>
      <c r="M65" s="35"/>
      <c r="N65" s="35"/>
      <c r="O65" s="35"/>
      <c r="P65" s="35"/>
      <c r="Q65" s="35"/>
      <c r="R65" s="35"/>
    </row>
    <row r="66" spans="2:18" x14ac:dyDescent="0.2">
      <c r="B66" s="26">
        <f t="shared" si="9"/>
        <v>62</v>
      </c>
      <c r="C66" s="47">
        <f>IF($E$9="H",+(VLOOKUP(B66,'CSO2001'!_xlnm.Print_Area,11)-VLOOKUP(B66+$E$8,'CSO2001'!_xlnm.Print_Area,11))/(VLOOKUP(B66,'CSO2001'!_xlnm.Print_Area,9)-VLOOKUP(B66+$E$8,'CSO2001'!_xlnm.Print_Area,9))*$E$7,+(VLOOKUP(B66-3,'CSO2001'!_xlnm.Print_Area,11)-VLOOKUP(B66-3+$E$8,'CSO2001'!_xlnm.Print_Area,11))/(VLOOKUP(B66-3,'CSO2001'!_xlnm.Print_Area,9)-VLOOKUP(B66-3+$E$8,'CSO2001'!_xlnm.Print_Area,9))*$E$7)*(1+$E$10)</f>
        <v>51.44992409015687</v>
      </c>
      <c r="D66" s="48">
        <f t="shared" si="10"/>
        <v>102.89984818031374</v>
      </c>
      <c r="E66" s="48">
        <f t="shared" si="11"/>
        <v>110.10283755293571</v>
      </c>
      <c r="F66" s="48">
        <f t="shared" si="12"/>
        <v>109.07383907113257</v>
      </c>
      <c r="G66" s="48">
        <f t="shared" si="13"/>
        <v>107.0158421075263</v>
      </c>
      <c r="H66" s="48">
        <f t="shared" si="14"/>
        <v>102.89984818031374</v>
      </c>
      <c r="I66" s="48">
        <f t="shared" si="15"/>
        <v>9.1752364627446426</v>
      </c>
      <c r="J66" s="48">
        <f t="shared" si="16"/>
        <v>27.268459767783142</v>
      </c>
      <c r="K66" s="48">
        <f t="shared" si="17"/>
        <v>53.507921053763148</v>
      </c>
      <c r="L66" s="48">
        <f t="shared" si="18"/>
        <v>102.89984818031374</v>
      </c>
      <c r="M66" s="35"/>
      <c r="N66" s="35"/>
      <c r="O66" s="35"/>
      <c r="P66" s="35"/>
      <c r="Q66" s="35"/>
      <c r="R66" s="35"/>
    </row>
    <row r="67" spans="2:18" x14ac:dyDescent="0.2">
      <c r="B67" s="26">
        <f t="shared" si="9"/>
        <v>63</v>
      </c>
      <c r="C67" s="47">
        <f>IF($E$9="H",+(VLOOKUP(B67,'CSO2001'!_xlnm.Print_Area,11)-VLOOKUP(B67+$E$8,'CSO2001'!_xlnm.Print_Area,11))/(VLOOKUP(B67,'CSO2001'!_xlnm.Print_Area,9)-VLOOKUP(B67+$E$8,'CSO2001'!_xlnm.Print_Area,9))*$E$7,+(VLOOKUP(B67-3,'CSO2001'!_xlnm.Print_Area,11)-VLOOKUP(B67-3+$E$8,'CSO2001'!_xlnm.Print_Area,11))/(VLOOKUP(B67-3,'CSO2001'!_xlnm.Print_Area,9)-VLOOKUP(B67-3+$E$8,'CSO2001'!_xlnm.Print_Area,9))*$E$7)*(1+$E$10)</f>
        <v>54.57077990164904</v>
      </c>
      <c r="D67" s="48">
        <f t="shared" si="10"/>
        <v>109.14155980329808</v>
      </c>
      <c r="E67" s="48">
        <f t="shared" si="11"/>
        <v>116.78146898952895</v>
      </c>
      <c r="F67" s="48">
        <f t="shared" si="12"/>
        <v>115.69005339149597</v>
      </c>
      <c r="G67" s="48">
        <f t="shared" si="13"/>
        <v>113.50722219543</v>
      </c>
      <c r="H67" s="48">
        <f t="shared" si="14"/>
        <v>109.14155980329808</v>
      </c>
      <c r="I67" s="48">
        <f t="shared" si="15"/>
        <v>9.7317890824607449</v>
      </c>
      <c r="J67" s="48">
        <f t="shared" si="16"/>
        <v>28.922513347873991</v>
      </c>
      <c r="K67" s="48">
        <f t="shared" si="17"/>
        <v>56.753611097715002</v>
      </c>
      <c r="L67" s="48">
        <f t="shared" si="18"/>
        <v>109.14155980329808</v>
      </c>
      <c r="M67" s="35"/>
      <c r="N67" s="35"/>
      <c r="O67" s="35"/>
      <c r="P67" s="35"/>
      <c r="Q67" s="35"/>
      <c r="R67" s="35"/>
    </row>
    <row r="68" spans="2:18" x14ac:dyDescent="0.2">
      <c r="B68" s="26">
        <f t="shared" si="9"/>
        <v>64</v>
      </c>
      <c r="C68" s="47">
        <f>IF($E$9="H",+(VLOOKUP(B68,'CSO2001'!_xlnm.Print_Area,11)-VLOOKUP(B68+$E$8,'CSO2001'!_xlnm.Print_Area,11))/(VLOOKUP(B68,'CSO2001'!_xlnm.Print_Area,9)-VLOOKUP(B68+$E$8,'CSO2001'!_xlnm.Print_Area,9))*$E$7,+(VLOOKUP(B68-3,'CSO2001'!_xlnm.Print_Area,11)-VLOOKUP(B68-3+$E$8,'CSO2001'!_xlnm.Print_Area,11))/(VLOOKUP(B68-3,'CSO2001'!_xlnm.Print_Area,9)-VLOOKUP(B68-3+$E$8,'CSO2001'!_xlnm.Print_Area,9))*$E$7)*(1+$E$10)</f>
        <v>57.816894656937016</v>
      </c>
      <c r="D68" s="48">
        <f t="shared" si="10"/>
        <v>115.63378931387403</v>
      </c>
      <c r="E68" s="48">
        <f t="shared" si="11"/>
        <v>123.72815456584522</v>
      </c>
      <c r="F68" s="48">
        <f t="shared" si="12"/>
        <v>122.57181667270648</v>
      </c>
      <c r="G68" s="48">
        <f t="shared" si="13"/>
        <v>120.25914088642899</v>
      </c>
      <c r="H68" s="48">
        <f t="shared" si="14"/>
        <v>115.63378931387403</v>
      </c>
      <c r="I68" s="48">
        <f t="shared" si="15"/>
        <v>10.310679547153768</v>
      </c>
      <c r="J68" s="48">
        <f t="shared" si="16"/>
        <v>30.642954168176619</v>
      </c>
      <c r="K68" s="48">
        <f t="shared" si="17"/>
        <v>60.129570443214497</v>
      </c>
      <c r="L68" s="48">
        <f t="shared" si="18"/>
        <v>115.63378931387403</v>
      </c>
      <c r="M68" s="35"/>
      <c r="N68" s="35"/>
      <c r="O68" s="35"/>
      <c r="P68" s="35"/>
      <c r="Q68" s="35"/>
      <c r="R68" s="35"/>
    </row>
    <row r="69" spans="2:18" x14ac:dyDescent="0.2">
      <c r="B69" s="26">
        <f t="shared" si="9"/>
        <v>65</v>
      </c>
      <c r="C69" s="47">
        <f>IF($E$9="H",+(VLOOKUP(B69,'CSO2001'!_xlnm.Print_Area,11)-VLOOKUP(B69+$E$8,'CSO2001'!_xlnm.Print_Area,11))/(VLOOKUP(B69,'CSO2001'!_xlnm.Print_Area,9)-VLOOKUP(B69+$E$8,'CSO2001'!_xlnm.Print_Area,9))*$E$7,+(VLOOKUP(B69-3,'CSO2001'!_xlnm.Print_Area,11)-VLOOKUP(B69-3+$E$8,'CSO2001'!_xlnm.Print_Area,11))/(VLOOKUP(B69-3,'CSO2001'!_xlnm.Print_Area,9)-VLOOKUP(B69-3+$E$8,'CSO2001'!_xlnm.Print_Area,9))*$E$7)*(1+$E$10)</f>
        <v>61.215362140737078</v>
      </c>
      <c r="D69" s="48">
        <f t="shared" si="10"/>
        <v>122.43072428147416</v>
      </c>
      <c r="E69" s="48">
        <f t="shared" ref="E69:E74" si="19">+$D69*(1+$E$12)</f>
        <v>131.00087498117736</v>
      </c>
      <c r="F69" s="48">
        <f t="shared" ref="F69:F74" si="20">+$D69*(1+$F$12)</f>
        <v>129.77656773836262</v>
      </c>
      <c r="G69" s="48">
        <f t="shared" ref="G69:G74" si="21">+$D69*(1+$G$12)</f>
        <v>127.32795325273312</v>
      </c>
      <c r="H69" s="48">
        <f t="shared" ref="H69:H74" si="22">+$D69*(1+$H$12)</f>
        <v>122.43072428147416</v>
      </c>
      <c r="I69" s="48">
        <f t="shared" ref="I69:I74" si="23">+E69/12</f>
        <v>10.91673958176478</v>
      </c>
      <c r="J69" s="48">
        <f t="shared" ref="J69:J74" si="24">+F69/4</f>
        <v>32.444141934590654</v>
      </c>
      <c r="K69" s="48">
        <f t="shared" ref="K69:K74" si="25">+G69/2</f>
        <v>63.663976626366562</v>
      </c>
      <c r="L69" s="48">
        <f t="shared" ref="L69:L74" si="26">+H69</f>
        <v>122.43072428147416</v>
      </c>
      <c r="M69" s="35"/>
      <c r="N69" s="35"/>
      <c r="O69" s="35"/>
      <c r="P69" s="35"/>
      <c r="Q69" s="35"/>
      <c r="R69" s="35"/>
    </row>
    <row r="70" spans="2:18" x14ac:dyDescent="0.2">
      <c r="B70" s="26">
        <f t="shared" si="9"/>
        <v>66</v>
      </c>
      <c r="C70" s="47">
        <f>IF($E$9="H",+(VLOOKUP(B70,'CSO2001'!_xlnm.Print_Area,11)-VLOOKUP(B70+$E$8,'CSO2001'!_xlnm.Print_Area,11))/(VLOOKUP(B70,'CSO2001'!_xlnm.Print_Area,9)-VLOOKUP(B70+$E$8,'CSO2001'!_xlnm.Print_Area,9))*$E$7,+(VLOOKUP(B70-3,'CSO2001'!_xlnm.Print_Area,11)-VLOOKUP(B70-3+$E$8,'CSO2001'!_xlnm.Print_Area,11))/(VLOOKUP(B70-3,'CSO2001'!_xlnm.Print_Area,9)-VLOOKUP(B70-3+$E$8,'CSO2001'!_xlnm.Print_Area,9))*$E$7)*(1+$E$10)</f>
        <v>64.795956739323628</v>
      </c>
      <c r="D70" s="48">
        <f>+C70/(1-$D$13)</f>
        <v>129.59191347864726</v>
      </c>
      <c r="E70" s="48">
        <f t="shared" si="19"/>
        <v>138.66334742215258</v>
      </c>
      <c r="F70" s="48">
        <f t="shared" si="20"/>
        <v>137.3674282873661</v>
      </c>
      <c r="G70" s="48">
        <f t="shared" si="21"/>
        <v>134.77559001779315</v>
      </c>
      <c r="H70" s="48">
        <f t="shared" si="22"/>
        <v>129.59191347864726</v>
      </c>
      <c r="I70" s="48">
        <f t="shared" si="23"/>
        <v>11.555278951846049</v>
      </c>
      <c r="J70" s="48">
        <f t="shared" si="24"/>
        <v>34.341857071841524</v>
      </c>
      <c r="K70" s="48">
        <f t="shared" si="25"/>
        <v>67.387795008896575</v>
      </c>
      <c r="L70" s="48">
        <f t="shared" si="26"/>
        <v>129.59191347864726</v>
      </c>
    </row>
    <row r="71" spans="2:18" x14ac:dyDescent="0.2">
      <c r="B71" s="26">
        <f t="shared" si="9"/>
        <v>67</v>
      </c>
      <c r="C71" s="47">
        <f>IF($E$9="H",+(VLOOKUP(B71,'CSO2001'!_xlnm.Print_Area,11)-VLOOKUP(B71+$E$8,'CSO2001'!_xlnm.Print_Area,11))/(VLOOKUP(B71,'CSO2001'!_xlnm.Print_Area,9)-VLOOKUP(B71+$E$8,'CSO2001'!_xlnm.Print_Area,9))*$E$7,+(VLOOKUP(B71-3,'CSO2001'!_xlnm.Print_Area,11)-VLOOKUP(B71-3+$E$8,'CSO2001'!_xlnm.Print_Area,11))/(VLOOKUP(B71-3,'CSO2001'!_xlnm.Print_Area,9)-VLOOKUP(B71-3+$E$8,'CSO2001'!_xlnm.Print_Area,9))*$E$7)*(1+$E$10)</f>
        <v>68.603465365695214</v>
      </c>
      <c r="D71" s="48">
        <f>+C71/(1-$D$13)</f>
        <v>137.20693073139043</v>
      </c>
      <c r="E71" s="48">
        <f t="shared" si="19"/>
        <v>146.81141588258777</v>
      </c>
      <c r="F71" s="48">
        <f t="shared" si="20"/>
        <v>145.43934657527387</v>
      </c>
      <c r="G71" s="48">
        <f t="shared" si="21"/>
        <v>142.69520796064606</v>
      </c>
      <c r="H71" s="48">
        <f t="shared" si="22"/>
        <v>137.20693073139043</v>
      </c>
      <c r="I71" s="48">
        <f t="shared" si="23"/>
        <v>12.234284656882314</v>
      </c>
      <c r="J71" s="48">
        <f t="shared" si="24"/>
        <v>36.359836643818468</v>
      </c>
      <c r="K71" s="48">
        <f t="shared" si="25"/>
        <v>71.347603980323029</v>
      </c>
      <c r="L71" s="48">
        <f t="shared" si="26"/>
        <v>137.20693073139043</v>
      </c>
    </row>
    <row r="72" spans="2:18" x14ac:dyDescent="0.2">
      <c r="B72" s="26">
        <f t="shared" si="9"/>
        <v>68</v>
      </c>
      <c r="C72" s="47">
        <f>IF($E$9="H",+(VLOOKUP(B72,'CSO2001'!_xlnm.Print_Area,11)-VLOOKUP(B72+$E$8,'CSO2001'!_xlnm.Print_Area,11))/(VLOOKUP(B72,'CSO2001'!_xlnm.Print_Area,9)-VLOOKUP(B72+$E$8,'CSO2001'!_xlnm.Print_Area,9))*$E$7,+(VLOOKUP(B72-3,'CSO2001'!_xlnm.Print_Area,11)-VLOOKUP(B72-3+$E$8,'CSO2001'!_xlnm.Print_Area,11))/(VLOOKUP(B72-3,'CSO2001'!_xlnm.Print_Area,9)-VLOOKUP(B72-3+$E$8,'CSO2001'!_xlnm.Print_Area,9))*$E$7)*(1+$E$10)</f>
        <v>72.694212920975133</v>
      </c>
      <c r="D72" s="48">
        <f>+C72/(1-$D$13)</f>
        <v>145.38842584195027</v>
      </c>
      <c r="E72" s="48">
        <f t="shared" si="19"/>
        <v>155.5656156508868</v>
      </c>
      <c r="F72" s="48">
        <f t="shared" si="20"/>
        <v>154.11173139246728</v>
      </c>
      <c r="G72" s="48">
        <f t="shared" si="21"/>
        <v>151.20396287562829</v>
      </c>
      <c r="H72" s="48">
        <f t="shared" si="22"/>
        <v>145.38842584195027</v>
      </c>
      <c r="I72" s="48">
        <f t="shared" si="23"/>
        <v>12.963801304240567</v>
      </c>
      <c r="J72" s="48">
        <f t="shared" si="24"/>
        <v>38.527932848116819</v>
      </c>
      <c r="K72" s="48">
        <f t="shared" si="25"/>
        <v>75.601981437814146</v>
      </c>
      <c r="L72" s="48">
        <f t="shared" si="26"/>
        <v>145.38842584195027</v>
      </c>
    </row>
    <row r="73" spans="2:18" x14ac:dyDescent="0.2">
      <c r="B73" s="26">
        <f t="shared" si="9"/>
        <v>69</v>
      </c>
      <c r="C73" s="47">
        <f>IF($E$9="H",+(VLOOKUP(B73,'CSO2001'!_xlnm.Print_Area,11)-VLOOKUP(B73+$E$8,'CSO2001'!_xlnm.Print_Area,11))/(VLOOKUP(B73,'CSO2001'!_xlnm.Print_Area,9)-VLOOKUP(B73+$E$8,'CSO2001'!_xlnm.Print_Area,9))*$E$7,+(VLOOKUP(B73-3,'CSO2001'!_xlnm.Print_Area,11)-VLOOKUP(B73-3+$E$8,'CSO2001'!_xlnm.Print_Area,11))/(VLOOKUP(B73-3,'CSO2001'!_xlnm.Print_Area,9)-VLOOKUP(B73-3+$E$8,'CSO2001'!_xlnm.Print_Area,9))*$E$7)*(1+$E$10)</f>
        <v>77.111039027441279</v>
      </c>
      <c r="D73" s="48">
        <f>+C73/(1-$D$13)</f>
        <v>154.22207805488256</v>
      </c>
      <c r="E73" s="48">
        <f t="shared" si="19"/>
        <v>165.01762351872435</v>
      </c>
      <c r="F73" s="48">
        <f t="shared" si="20"/>
        <v>163.47540273817552</v>
      </c>
      <c r="G73" s="48">
        <f t="shared" si="21"/>
        <v>160.39096117707786</v>
      </c>
      <c r="H73" s="48">
        <f t="shared" si="22"/>
        <v>154.22207805488256</v>
      </c>
      <c r="I73" s="48">
        <f t="shared" si="23"/>
        <v>13.751468626560362</v>
      </c>
      <c r="J73" s="48">
        <f t="shared" si="24"/>
        <v>40.868850684543879</v>
      </c>
      <c r="K73" s="48">
        <f t="shared" si="25"/>
        <v>80.195480588538928</v>
      </c>
      <c r="L73" s="48">
        <f t="shared" si="26"/>
        <v>154.22207805488256</v>
      </c>
    </row>
    <row r="74" spans="2:18" x14ac:dyDescent="0.2">
      <c r="B74" s="26">
        <f t="shared" si="9"/>
        <v>70</v>
      </c>
      <c r="C74" s="47">
        <f>IF($E$9="H",+(VLOOKUP(B74,'CSO2001'!_xlnm.Print_Area,11)-VLOOKUP(B74+$E$8,'CSO2001'!_xlnm.Print_Area,11))/(VLOOKUP(B74,'CSO2001'!_xlnm.Print_Area,9)-VLOOKUP(B74+$E$8,'CSO2001'!_xlnm.Print_Area,9))*$E$7,+(VLOOKUP(B74-3,'CSO2001'!_xlnm.Print_Area,11)-VLOOKUP(B74-3+$E$8,'CSO2001'!_xlnm.Print_Area,11))/(VLOOKUP(B74-3,'CSO2001'!_xlnm.Print_Area,9)-VLOOKUP(B74-3+$E$8,'CSO2001'!_xlnm.Print_Area,9))*$E$7)*(1+$E$10)</f>
        <v>81.913061416125515</v>
      </c>
      <c r="D74" s="48">
        <f>+C74/(1-$D$13)</f>
        <v>163.82612283225103</v>
      </c>
      <c r="E74" s="48">
        <f t="shared" si="19"/>
        <v>175.2939514305086</v>
      </c>
      <c r="F74" s="48">
        <f t="shared" si="20"/>
        <v>173.65569020218609</v>
      </c>
      <c r="G74" s="48">
        <f t="shared" si="21"/>
        <v>170.37916774554108</v>
      </c>
      <c r="H74" s="48">
        <f t="shared" si="22"/>
        <v>163.82612283225103</v>
      </c>
      <c r="I74" s="48">
        <f t="shared" si="23"/>
        <v>14.607829285875717</v>
      </c>
      <c r="J74" s="48">
        <f t="shared" si="24"/>
        <v>43.413922550546523</v>
      </c>
      <c r="K74" s="48">
        <f t="shared" si="25"/>
        <v>85.189583872770541</v>
      </c>
      <c r="L74" s="48">
        <f t="shared" si="26"/>
        <v>163.82612283225103</v>
      </c>
    </row>
  </sheetData>
  <mergeCells count="8">
    <mergeCell ref="I14:L14"/>
    <mergeCell ref="E15:H15"/>
    <mergeCell ref="B3:L3"/>
    <mergeCell ref="B4:L4"/>
    <mergeCell ref="B8:D8"/>
    <mergeCell ref="B9:D9"/>
    <mergeCell ref="B11:D11"/>
    <mergeCell ref="B12:D12"/>
  </mergeCells>
  <dataValidations count="1">
    <dataValidation allowBlank="1" showInputMessage="1" showErrorMessage="1" prompt="CELDA PROTEGIDA!!!!" sqref="D14" xr:uid="{00000000-0002-0000-0800-000000000000}"/>
  </dataValidations>
  <pageMargins left="0.7" right="0.7" top="0.75" bottom="0.75" header="0.3" footer="0.3"/>
  <pageSetup scale="75" orientation="landscape" horizontalDpi="4294967293" verticalDpi="0" r:id="rId1"/>
  <headerFooter>
    <oddFooter>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INTERMEDIARIO</vt:lpstr>
      <vt:lpstr>COTIZADOR</vt:lpstr>
      <vt:lpstr>OFERTA</vt:lpstr>
      <vt:lpstr>CSO2001</vt:lpstr>
      <vt:lpstr>TARIFAS T-10</vt:lpstr>
      <vt:lpstr>TARIFAS T-15</vt:lpstr>
      <vt:lpstr>TARIFAS T-20</vt:lpstr>
      <vt:lpstr>TARIFAS T-25</vt:lpstr>
      <vt:lpstr>TARIFAS T-30</vt:lpstr>
      <vt:lpstr>RESERVAS 20</vt:lpstr>
      <vt:lpstr>RESERVAS 10</vt:lpstr>
      <vt:lpstr>RESERVAS 15</vt:lpstr>
      <vt:lpstr>RESERVAS 30</vt:lpstr>
      <vt:lpstr>RESERVAS 25</vt:lpstr>
      <vt:lpstr>'CSO2001'!Print_Area</vt:lpstr>
      <vt:lpstr>OFERTA!Print_Area</vt:lpstr>
      <vt:lpstr>'RESERVAS 20'!Print_Area</vt:lpstr>
      <vt:lpstr>'TARIFAS T-10'!Print_Area</vt:lpstr>
      <vt:lpstr>'TARIFAS T-15'!Print_Area</vt:lpstr>
      <vt:lpstr>'TARIFAS T-20'!Print_Area</vt:lpstr>
      <vt:lpstr>'TARIFAS T-25'!Print_Area</vt:lpstr>
      <vt:lpstr>'TARIFAS T-30'!Print_Area</vt:lpstr>
      <vt:lpstr>'CSO2001'!Print_Titles</vt:lpstr>
      <vt:lpstr>'RESERVAS 20'!Print_Titles</vt:lpstr>
      <vt:lpstr>'TARIFAS T-10'!Print_Titles</vt:lpstr>
      <vt:lpstr>'TARIFAS T-15'!Print_Titles</vt:lpstr>
      <vt:lpstr>'TARIFAS T-20'!Print_Titles</vt:lpstr>
      <vt:lpstr>'TARIFAS T-25'!Print_Titles</vt:lpstr>
      <vt:lpstr>'TARIFAS T-30'!Print_Titles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 Elías</dc:creator>
  <cp:lastModifiedBy>Luis Jose Noyola Palucha</cp:lastModifiedBy>
  <cp:lastPrinted>2020-09-07T15:59:37Z</cp:lastPrinted>
  <dcterms:created xsi:type="dcterms:W3CDTF">2008-06-24T13:26:35Z</dcterms:created>
  <dcterms:modified xsi:type="dcterms:W3CDTF">2022-07-21T22:41:03Z</dcterms:modified>
</cp:coreProperties>
</file>